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225" windowHeight="700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 r:id="rId16"/>
  </externalReferences>
  <definedNames/>
  <calcPr fullCalcOnLoad="1"/>
</workbook>
</file>

<file path=xl/sharedStrings.xml><?xml version="1.0" encoding="utf-8"?>
<sst xmlns="http://schemas.openxmlformats.org/spreadsheetml/2006/main" count="490" uniqueCount="212">
  <si>
    <t>NEW JERSEY INSURANCE UNDERWRITING ASSOCIATION</t>
  </si>
  <si>
    <t>POLICY YEAR 2012</t>
  </si>
  <si>
    <t>POLICY YEAR 2011</t>
  </si>
  <si>
    <t>POLICY YEAR 2010</t>
  </si>
  <si>
    <t>POLICY YEAR 2009</t>
  </si>
  <si>
    <t>TOTAL</t>
  </si>
  <si>
    <t>FIRE</t>
  </si>
  <si>
    <t xml:space="preserve">ALLIED </t>
  </si>
  <si>
    <t>CRIME</t>
  </si>
  <si>
    <t>ALLIED</t>
  </si>
  <si>
    <t>BALANCE SHEET</t>
  </si>
  <si>
    <t>LEDGER ASSETS</t>
  </si>
  <si>
    <t>NON-LEDGER ASSETS</t>
  </si>
  <si>
    <t>NON- ADMITTED ASSETS</t>
  </si>
  <si>
    <t>NET ADMITTED ASSETS</t>
  </si>
  <si>
    <t>ASSETS</t>
  </si>
  <si>
    <t xml:space="preserve">     BONDS</t>
  </si>
  <si>
    <t xml:space="preserve">     STOCKS</t>
  </si>
  <si>
    <t xml:space="preserve">     CASH &amp; SHORT-TERM INVESTMENTS</t>
  </si>
  <si>
    <t xml:space="preserve">     PREPAID PENSION COST</t>
  </si>
  <si>
    <t xml:space="preserve">     ACCRUED INTEREST</t>
  </si>
  <si>
    <t xml:space="preserve">     FURNITURE &amp; EQUIPMENT</t>
  </si>
  <si>
    <t xml:space="preserve">     EDP - EQUIPMENT &amp; SOFTWARE</t>
  </si>
  <si>
    <t xml:space="preserve">     PREMIUMS RECEIVABLE</t>
  </si>
  <si>
    <t xml:space="preserve">          TOTAL ASSETS</t>
  </si>
  <si>
    <t>LIABILITIES</t>
  </si>
  <si>
    <t xml:space="preserve">      POST RETIREMENT BENEFITS (other than pensions)</t>
  </si>
  <si>
    <t xml:space="preserve">      DEFINED BENEFIT PENSION PLAN</t>
  </si>
  <si>
    <t xml:space="preserve">      AMOUNTS HELD FOR OTHERS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</si>
  <si>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</si>
  <si>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</si>
  <si>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</si>
  <si>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</si>
  <si>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</si>
  <si>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</si>
  <si>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</si>
  <si>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</si>
  <si>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</si>
  <si>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</si>
  <si>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</si>
  <si>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</si>
  <si>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</si>
  <si>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</si>
  <si>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</si>
  <si>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</si>
  <si>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TOTAL LIABILITIES PLUS EQUITY ACCOUNT</t>
  </si>
  <si>
    <t xml:space="preserve"> INCOME STATEMENT</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</si>
  <si>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</si>
  <si>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</si>
  <si>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</si>
  <si>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</si>
  <si>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</si>
  <si>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</si>
  <si>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</si>
  <si>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</si>
  <si>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</si>
  <si>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</si>
  <si>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</si>
  <si>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LOSS</t>
  </si>
  <si>
    <t>INVESTMENT INCOME</t>
  </si>
  <si>
    <t xml:space="preserve">     NET INVESTMENT INCOME EARNED</t>
  </si>
  <si>
    <t xml:space="preserve">         NET INVESTMENT GAIN</t>
  </si>
  <si>
    <t>OTHER INCOME</t>
  </si>
  <si>
    <r>
      <t xml:space="preserve">       OTHER INCOME </t>
    </r>
  </si>
  <si>
    <t xml:space="preserve">       INSTALLMENT SERVICE FEE</t>
  </si>
  <si>
    <t xml:space="preserve">         TOTAL OTHER INCOME</t>
  </si>
  <si>
    <t xml:space="preserve">     NET EQUITY - PRIOR</t>
  </si>
  <si>
    <t xml:space="preserve">     CHANGE IN NONADMITTED ASSETS</t>
  </si>
  <si>
    <t>CHANGE IN EQUITY</t>
  </si>
  <si>
    <t xml:space="preserve"> </t>
  </si>
  <si>
    <t xml:space="preserve"> EQUITY ACCOUNT</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</si>
  <si>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</si>
  <si>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</si>
  <si>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</si>
  <si>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</si>
  <si>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</si>
  <si>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</si>
  <si>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</si>
  <si>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</si>
  <si>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</si>
  <si>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</si>
  <si>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</si>
  <si>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</si>
  <si>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</si>
  <si>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</si>
  <si>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</si>
  <si>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</si>
  <si>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</si>
  <si>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</si>
  <si>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</si>
  <si>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</si>
  <si>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 xml:space="preserve">     NET UNREALIZED GAIN</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</si>
  <si>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</si>
  <si>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</si>
  <si>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</si>
  <si>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</si>
  <si>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</si>
  <si>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</si>
  <si>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</si>
  <si>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</si>
  <si>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</si>
  <si>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 xml:space="preserve">      INSTALLMENT SERVICE FEE</t>
  </si>
  <si>
    <t xml:space="preserve">      NET REALIZED CAPITAL GAIN</t>
  </si>
  <si>
    <t>UNDERWRITING STATEMENT</t>
  </si>
  <si>
    <t>EARNED/INCURRED BASIS</t>
  </si>
  <si>
    <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</si>
  <si>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</si>
  <si>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</si>
  <si>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</si>
  <si>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</si>
  <si>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</si>
  <si>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</si>
  <si>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</si>
  <si>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</si>
  <si>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</si>
  <si>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</si>
  <si>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</si>
  <si>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</si>
  <si>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</si>
  <si>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</si>
  <si>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</si>
  <si>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</si>
  <si>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</si>
  <si>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</si>
  <si>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</si>
  <si>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</si>
  <si>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</si>
  <si>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</si>
  <si>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</si>
  <si>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</si>
  <si>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</si>
  <si>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</si>
  <si>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</si>
  <si>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</si>
  <si>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</si>
  <si>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</si>
  <si>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</si>
  <si>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</si>
  <si>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</si>
  <si>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</si>
  <si>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</si>
  <si>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</si>
  <si>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</si>
  <si>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</si>
  <si>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</si>
  <si>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Investment Gain</t>
  </si>
  <si>
    <t>Installment Service Fee</t>
  </si>
  <si>
    <t>Net Loss</t>
  </si>
  <si>
    <t>Net Realized Capital Gain</t>
  </si>
  <si>
    <t>STATISTICAL REPORT ON PREMIUMS</t>
  </si>
  <si>
    <t>*SEE NOTE BELOW</t>
  </si>
  <si>
    <t>WRITTEN PREMIUMS</t>
  </si>
  <si>
    <t xml:space="preserve">     FIRE</t>
  </si>
  <si>
    <t xml:space="preserve">     ALLIED </t>
  </si>
  <si>
    <t xml:space="preserve">     CRIME</t>
  </si>
  <si>
    <t xml:space="preserve">            TOTAL</t>
  </si>
  <si>
    <t xml:space="preserve">    ALLIED </t>
  </si>
  <si>
    <t xml:space="preserve">    CRIME</t>
  </si>
  <si>
    <t>EARNED PREMIUM</t>
  </si>
  <si>
    <t>*Note: The Terrorism Risk Insurance Program Reauthorization Act of 2007 requires insurers to report direct earned premium for commercial business written.                                                         This amount is shown on page 8.</t>
  </si>
  <si>
    <t>PRIOR UNEARNED PREMIUM RESERVE                     @ 12-31-11</t>
  </si>
  <si>
    <t>1-4 Family Tenant-Occupied</t>
  </si>
  <si>
    <t>Commercial</t>
  </si>
  <si>
    <t>Total TRIA</t>
  </si>
  <si>
    <r>
      <t xml:space="preserve">                                           </t>
    </r>
    <r>
      <rPr>
        <b/>
        <sz val="9"/>
        <rFont val="Century Schoolbook"/>
        <family val="1"/>
      </rPr>
      <t xml:space="preserve">         1Q11</t>
    </r>
    <r>
      <rPr>
        <sz val="9"/>
        <rFont val="Century Schoolbook"/>
        <family val="1"/>
      </rPr>
      <t xml:space="preserve">         $171,961</t>
    </r>
  </si>
  <si>
    <r>
      <t xml:space="preserve">       1Q12       </t>
    </r>
    <r>
      <rPr>
        <sz val="9"/>
        <rFont val="Century Schoolbook"/>
        <family val="1"/>
      </rPr>
      <t>$147,363</t>
    </r>
  </si>
  <si>
    <r>
      <t xml:space="preserve">                                           </t>
    </r>
    <r>
      <rPr>
        <b/>
        <sz val="9"/>
        <rFont val="Century Schoolbook"/>
        <family val="1"/>
      </rPr>
      <t xml:space="preserve">         2Q11</t>
    </r>
    <r>
      <rPr>
        <sz val="9"/>
        <rFont val="Century Schoolbook"/>
        <family val="1"/>
      </rPr>
      <t xml:space="preserve">         $164,318</t>
    </r>
  </si>
  <si>
    <r>
      <t xml:space="preserve">       2Q12       </t>
    </r>
    <r>
      <rPr>
        <sz val="9"/>
        <rFont val="Century Schoolbook"/>
        <family val="1"/>
      </rPr>
      <t>$144,440</t>
    </r>
  </si>
  <si>
    <r>
      <t xml:space="preserve">                                           </t>
    </r>
    <r>
      <rPr>
        <b/>
        <sz val="9"/>
        <rFont val="Century Schoolbook"/>
        <family val="1"/>
      </rPr>
      <t xml:space="preserve">         3Q11</t>
    </r>
    <r>
      <rPr>
        <sz val="9"/>
        <rFont val="Century Schoolbook"/>
        <family val="1"/>
      </rPr>
      <t xml:space="preserve">         $162,257</t>
    </r>
  </si>
  <si>
    <r>
      <t xml:space="preserve">                                           </t>
    </r>
    <r>
      <rPr>
        <b/>
        <sz val="9"/>
        <rFont val="Century Schoolbook"/>
        <family val="1"/>
      </rPr>
      <t xml:space="preserve">         4Q11</t>
    </r>
    <r>
      <rPr>
        <sz val="9"/>
        <rFont val="Century Schoolbook"/>
        <family val="1"/>
      </rPr>
      <t xml:space="preserve">         $155,412</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</si>
  <si>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</si>
  <si>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</si>
  <si>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</si>
  <si>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</si>
  <si>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</si>
  <si>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 xml:space="preserve">       FIRE</t>
  </si>
  <si>
    <t xml:space="preserve">       ALLIED </t>
  </si>
  <si>
    <t xml:space="preserve">       CRIME</t>
  </si>
  <si>
    <t>(Including I.B.N.R. Reserves)</t>
  </si>
  <si>
    <t>INCURRED LOSSES</t>
  </si>
  <si>
    <t>PRIOR LOSS RESERVES (12-31-11)</t>
  </si>
  <si>
    <t>STATISTICAL REPORT ON LOSS EXPENSES</t>
  </si>
  <si>
    <t>(INCLUDES ALLOCATED AND UNALLOCATED LOSS EXPENSES)</t>
  </si>
  <si>
    <t>LOSS EXPENSES PAID                                      (ALAE AND ULAE)</t>
  </si>
  <si>
    <t>ALAE &amp; ULAE LOSS EXPENSES  INCURRED</t>
  </si>
  <si>
    <t>PRIOR LOSS  EXPENSE RESERVES                     @ 12-31-11</t>
  </si>
  <si>
    <t>AT DECEMBER 31, 2012</t>
  </si>
  <si>
    <t xml:space="preserve">     NET EQUITY AT DECEMBER 31, 2012</t>
  </si>
  <si>
    <t>DECEMBER 31, 2012</t>
  </si>
  <si>
    <t>NET EQUITY AT DECEMBER 31, 2012</t>
  </si>
  <si>
    <t>QTD PERIOD ENDED DECEMBER 31, 2012</t>
  </si>
  <si>
    <t>YTD PERIOD ENDED DECEMBER 31, 2012</t>
  </si>
  <si>
    <t>QTD PERIOD ENDING DECEMBER 31, 2012</t>
  </si>
  <si>
    <t>YTD PERIOD ENDING DECEMBER 31, 2012</t>
  </si>
  <si>
    <t>12-31-12</t>
  </si>
  <si>
    <t>CURRENT UNEARNED PREMIUM RESERVE              @ 12-31-12</t>
  </si>
  <si>
    <t>PRIOR UNEARNED PREMIUM RESERVE                     @ 09-30-12</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</si>
  <si>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</si>
  <si>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CURRENT CASE BASIS RESERVES (12-31-12)</t>
  </si>
  <si>
    <t>CURRENT I.B.N.R. RESERVES (12-31-12)</t>
  </si>
  <si>
    <t>PRIOR LOSS RESERVES (09-30-12)</t>
  </si>
  <si>
    <t>CURRENT LOSS EXPENSE RESERVES               @ 12-31-12</t>
  </si>
  <si>
    <t>PRIOR LOSS  EXPENSE RESERVES                     @ 09-30-12</t>
  </si>
  <si>
    <t xml:space="preserve">     CHANGE IN PENSION OBLIGATION</t>
  </si>
  <si>
    <t xml:space="preserve">      CHANGE IN PENSION OBLIGATION</t>
  </si>
  <si>
    <t xml:space="preserve">     NET UNREALIZED LOSS</t>
  </si>
  <si>
    <r>
      <t xml:space="preserve">     NET REALIZED CAPITAL GAIN</t>
    </r>
    <r>
      <rPr>
        <sz val="11"/>
        <color indexed="10"/>
        <rFont val="Century Schoolbook"/>
        <family val="1"/>
      </rPr>
      <t xml:space="preserve"> </t>
    </r>
  </si>
  <si>
    <t xml:space="preserve"> NET LOSS</t>
  </si>
  <si>
    <t xml:space="preserve">     NET LOSS FOR PERIOD</t>
  </si>
  <si>
    <r>
      <t xml:space="preserve">     NET UNREALIZED GAIN </t>
    </r>
    <r>
      <rPr>
        <sz val="11"/>
        <color indexed="10"/>
        <rFont val="Century Schoolbook"/>
        <family val="1"/>
      </rPr>
      <t xml:space="preserve">(LOSS) </t>
    </r>
  </si>
  <si>
    <r>
      <t xml:space="preserve">       3Q12       </t>
    </r>
    <r>
      <rPr>
        <sz val="9"/>
        <rFont val="Century Schoolbook"/>
        <family val="1"/>
      </rPr>
      <t>$141,933</t>
    </r>
  </si>
  <si>
    <r>
      <t xml:space="preserve">       4Q12       </t>
    </r>
    <r>
      <rPr>
        <sz val="9"/>
        <rFont val="Century Schoolbook"/>
        <family val="1"/>
      </rPr>
      <t>$141,618</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</si>
</sst>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000_);\(&quot;$&quot;#,##0.000\)"/>
  </numFmts>
  <fonts count="70">
    <font>
      <sz val="11"/>
      <color theme="1"/>
      <name val="Calibri"/>
      <family val="2"/>
    </font>
    <font>
      <sz val="11"/>
      <color indexed="8"/>
      <name val="Calibri"/>
      <family val="2"/>
    </font>
    <font>
      <sz val="10"/>
      <name val="Arial"/>
      <family val="2"/>
    </font>
    <font>
      <b/>
      <sz val="18"/>
      <name val="Century Schoolbook"/>
      <family val="1"/>
    </font>
    <font>
      <sz val="10"/>
      <name val="Century Schoolbook"/>
      <family val="1"/>
    </font>
    <font>
      <b/>
      <sz val="12"/>
      <name val="Century Schoolbook"/>
      <family val="1"/>
    </font>
    <font>
      <sz val="12"/>
      <name val="Century Schoolbook"/>
      <family val="1"/>
    </font>
    <font>
      <b/>
      <sz val="11"/>
      <name val="Century Schoolbook"/>
      <family val="1"/>
    </font>
    <font>
      <sz val="11"/>
      <name val="Century Schoolbook"/>
      <family val="1"/>
    </font>
    <font>
      <sz val="11"/>
      <color indexed="8"/>
      <name val="Century Schoolbook"/>
      <family val="1"/>
    </font>
    <font>
      <b/>
      <sz val="18"/>
      <color indexed="8"/>
      <name val="Century Schoolbook"/>
      <family val="1"/>
    </font>
    <font>
      <b/>
      <sz val="14"/>
      <color indexed="8"/>
      <name val="Century Schoolbook"/>
      <family val="1"/>
    </font>
    <font>
      <b/>
      <sz val="12"/>
      <color indexed="8"/>
      <name val="Century Schoolbook"/>
      <family val="1"/>
    </font>
    <font>
      <b/>
      <sz val="10"/>
      <color indexed="8"/>
      <name val="Century Schoolbook"/>
      <family val="1"/>
    </font>
    <font>
      <b/>
      <u val="single"/>
      <sz val="11"/>
      <color indexed="8"/>
      <name val="Century Schoolbook"/>
      <family val="1"/>
    </font>
    <font>
      <b/>
      <sz val="11"/>
      <color indexed="8"/>
      <name val="Century Schoolbook"/>
      <family val="1"/>
    </font>
    <font>
      <b/>
      <sz val="15"/>
      <name val="Century Schoolbook"/>
      <family val="1"/>
    </font>
    <font>
      <b/>
      <sz val="14"/>
      <name val="Century Schoolbook"/>
      <family val="1"/>
    </font>
    <font>
      <b/>
      <sz val="13"/>
      <name val="Century Schoolbook"/>
      <family val="1"/>
    </font>
    <font>
      <b/>
      <sz val="54"/>
      <color indexed="10"/>
      <name val="Calibri"/>
      <family val="2"/>
    </font>
    <font>
      <b/>
      <u val="single"/>
      <sz val="11"/>
      <name val="Century Schoolbook"/>
      <family val="1"/>
    </font>
    <font>
      <b/>
      <i/>
      <sz val="11"/>
      <name val="Century Schoolbook"/>
      <family val="1"/>
    </font>
    <font>
      <b/>
      <i/>
      <sz val="10"/>
      <name val="Century Schoolbook"/>
      <family val="1"/>
    </font>
    <font>
      <sz val="11"/>
      <color indexed="10"/>
      <name val="Century Schoolbook"/>
      <family val="1"/>
    </font>
    <font>
      <sz val="9"/>
      <name val="Century Schoolbook"/>
      <family val="1"/>
    </font>
    <font>
      <b/>
      <sz val="20"/>
      <name val="Century Schoolbook"/>
      <family val="1"/>
    </font>
    <font>
      <sz val="16"/>
      <name val="Century Schoolbook"/>
      <family val="1"/>
    </font>
    <font>
      <sz val="13"/>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b/>
      <sz val="11"/>
      <color indexed="9"/>
      <name val="Century Schoolbook"/>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54"/>
      <color rgb="FFE0322D"/>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right style="thin"/>
      <top style="thin"/>
      <bottom style="double"/>
    </border>
    <border>
      <left/>
      <right/>
      <top style="thin"/>
      <bottom style="double"/>
    </border>
    <border>
      <left style="thin"/>
      <right/>
      <top/>
      <bottom/>
    </border>
    <border>
      <left style="thin"/>
      <right/>
      <top style="thin"/>
      <bottom/>
    </border>
    <border>
      <left/>
      <right/>
      <top style="thin"/>
      <bottom/>
    </border>
    <border>
      <left style="thin"/>
      <right/>
      <top/>
      <bottom style="thin"/>
    </border>
    <border>
      <left/>
      <right style="thin"/>
      <top style="thin"/>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9" fillId="0" borderId="0" applyNumberFormat="0" applyBorder="0" applyAlignment="0">
      <protection/>
    </xf>
    <xf numFmtId="0" fontId="10" fillId="0" borderId="0" applyNumberFormat="0" applyBorder="0" applyAlignment="0">
      <protection/>
    </xf>
    <xf numFmtId="0" fontId="11" fillId="0" borderId="0" applyNumberFormat="0" applyBorder="0" applyAlignment="0">
      <protection/>
    </xf>
    <xf numFmtId="0" fontId="12" fillId="0" borderId="0" applyNumberFormat="0" applyBorder="0" applyAlignment="0">
      <protection/>
    </xf>
    <xf numFmtId="0" fontId="13" fillId="0" borderId="0" applyNumberFormat="0" applyBorder="0" applyAlignment="0">
      <protection/>
    </xf>
    <xf numFmtId="0" fontId="14" fillId="0" borderId="0" applyNumberFormat="0" applyBorder="0" applyAlignment="0">
      <protection/>
    </xf>
    <xf numFmtId="0" fontId="15" fillId="0" borderId="0" applyNumberFormat="0" applyBorder="0" applyAlignment="0">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38">
    <xf numFmtId="0" fontId="0" fillId="0" borderId="0" xfId="0" applyFont="1" applyAlignment="1">
      <alignment/>
    </xf>
    <xf numFmtId="0" fontId="16" fillId="0" borderId="0" xfId="75" applyFont="1">
      <alignment/>
      <protection/>
    </xf>
    <xf numFmtId="0" fontId="18" fillId="0" borderId="0" xfId="75" applyFont="1">
      <alignment/>
      <protection/>
    </xf>
    <xf numFmtId="0" fontId="69" fillId="0" borderId="0" xfId="75" applyFont="1" applyAlignment="1">
      <alignment horizontal="center"/>
      <protection/>
    </xf>
    <xf numFmtId="7" fontId="18" fillId="0" borderId="0" xfId="75" applyNumberFormat="1" applyFont="1" applyFill="1" applyBorder="1" applyAlignment="1" quotePrefix="1">
      <alignment horizontal="center"/>
      <protection/>
    </xf>
    <xf numFmtId="7" fontId="8" fillId="0" borderId="0" xfId="75" applyNumberFormat="1" applyFont="1" applyFill="1" applyBorder="1">
      <alignment/>
      <protection/>
    </xf>
    <xf numFmtId="5" fontId="15" fillId="33" borderId="0" xfId="46" applyNumberFormat="1" applyFont="1" applyFill="1" applyBorder="1" applyAlignment="1">
      <alignment horizontal="center" wrapText="1"/>
    </xf>
    <xf numFmtId="0" fontId="8" fillId="0" borderId="0" xfId="75" applyFont="1">
      <alignment/>
      <protection/>
    </xf>
    <xf numFmtId="7" fontId="20" fillId="0" borderId="0" xfId="75" applyNumberFormat="1" applyFont="1" applyFill="1" applyBorder="1" applyAlignment="1">
      <alignment horizontal="left" wrapText="1"/>
      <protection/>
    </xf>
    <xf numFmtId="5" fontId="8" fillId="0" borderId="10" xfId="46" applyNumberFormat="1" applyFont="1" applyFill="1" applyBorder="1" applyAlignment="1">
      <alignment horizontal="right"/>
    </xf>
    <xf numFmtId="7" fontId="8" fillId="0" borderId="0" xfId="50" applyNumberFormat="1" applyFont="1" applyFill="1" applyBorder="1" applyAlignment="1">
      <alignment horizontal="left"/>
    </xf>
    <xf numFmtId="5" fontId="8" fillId="0" borderId="11" xfId="46" applyNumberFormat="1" applyFont="1" applyFill="1" applyBorder="1" applyAlignment="1">
      <alignment horizontal="right"/>
    </xf>
    <xf numFmtId="43" fontId="7" fillId="0" borderId="11" xfId="46" applyFont="1" applyFill="1" applyBorder="1" applyAlignment="1">
      <alignment horizontal="right"/>
    </xf>
    <xf numFmtId="164" fontId="8" fillId="0" borderId="11" xfId="46" applyNumberFormat="1" applyFont="1" applyFill="1" applyBorder="1" applyAlignment="1">
      <alignment horizontal="right"/>
    </xf>
    <xf numFmtId="164" fontId="7" fillId="0" borderId="11" xfId="46" applyNumberFormat="1" applyFont="1" applyFill="1" applyBorder="1" applyAlignment="1">
      <alignment horizontal="right"/>
    </xf>
    <xf numFmtId="43" fontId="8" fillId="0" borderId="0" xfId="75" applyNumberFormat="1" applyFont="1">
      <alignment/>
      <protection/>
    </xf>
    <xf numFmtId="164" fontId="8" fillId="0" borderId="0" xfId="75" applyNumberFormat="1" applyFont="1">
      <alignment/>
      <protection/>
    </xf>
    <xf numFmtId="7" fontId="7" fillId="0" borderId="0" xfId="50" applyNumberFormat="1" applyFont="1" applyFill="1" applyBorder="1" applyAlignment="1">
      <alignment horizontal="center" wrapText="1"/>
    </xf>
    <xf numFmtId="5" fontId="7" fillId="0" borderId="12" xfId="46" applyNumberFormat="1" applyFont="1" applyFill="1" applyBorder="1" applyAlignment="1">
      <alignment horizontal="right"/>
    </xf>
    <xf numFmtId="7" fontId="8" fillId="0" borderId="0" xfId="50" applyNumberFormat="1" applyFont="1" applyFill="1" applyBorder="1" applyAlignment="1">
      <alignment horizontal="right" wrapText="1"/>
    </xf>
    <xf numFmtId="5" fontId="8" fillId="0" borderId="0" xfId="46" applyNumberFormat="1" applyFont="1" applyFill="1" applyBorder="1" applyAlignment="1">
      <alignment horizontal="right"/>
    </xf>
    <xf numFmtId="43" fontId="8" fillId="0" borderId="0" xfId="46" applyNumberFormat="1" applyFont="1" applyFill="1" applyBorder="1" applyAlignment="1">
      <alignment horizontal="right"/>
    </xf>
    <xf numFmtId="7" fontId="20" fillId="0" borderId="0" xfId="50" applyNumberFormat="1" applyFont="1" applyFill="1" applyBorder="1" applyAlignment="1">
      <alignment horizontal="left" wrapText="1"/>
    </xf>
    <xf numFmtId="5" fontId="7" fillId="0" borderId="0" xfId="46" applyNumberFormat="1" applyFont="1" applyFill="1" applyBorder="1" applyAlignment="1">
      <alignment horizontal="right"/>
    </xf>
    <xf numFmtId="164" fontId="8" fillId="0" borderId="0" xfId="46" applyNumberFormat="1" applyFont="1" applyFill="1" applyBorder="1" applyAlignment="1">
      <alignment horizontal="right"/>
    </xf>
    <xf numFmtId="5" fontId="7" fillId="0" borderId="0" xfId="46" applyNumberFormat="1" applyFont="1" applyBorder="1" applyAlignment="1">
      <alignment horizontal="right"/>
    </xf>
    <xf numFmtId="164" fontId="8" fillId="0" borderId="13" xfId="46" applyNumberFormat="1" applyFont="1" applyFill="1" applyBorder="1" applyAlignment="1">
      <alignment horizontal="right"/>
    </xf>
    <xf numFmtId="5" fontId="8" fillId="0" borderId="0" xfId="46" applyNumberFormat="1" applyFont="1" applyBorder="1" applyAlignment="1">
      <alignment horizontal="right"/>
    </xf>
    <xf numFmtId="164" fontId="7" fillId="0" borderId="0" xfId="46" applyNumberFormat="1" applyFont="1" applyFill="1" applyBorder="1" applyAlignment="1">
      <alignment horizontal="right"/>
    </xf>
    <xf numFmtId="38" fontId="8" fillId="0" borderId="0" xfId="75" applyNumberFormat="1" applyFont="1">
      <alignment/>
      <protection/>
    </xf>
    <xf numFmtId="165" fontId="8" fillId="0" borderId="0" xfId="75" applyNumberFormat="1" applyFont="1" applyBorder="1" applyAlignment="1">
      <alignment horizontal="center"/>
      <protection/>
    </xf>
    <xf numFmtId="164" fontId="8" fillId="0" borderId="0" xfId="46" applyNumberFormat="1" applyFont="1" applyBorder="1" applyAlignment="1">
      <alignment horizontal="right"/>
    </xf>
    <xf numFmtId="7" fontId="7" fillId="0" borderId="0" xfId="50" applyNumberFormat="1" applyFont="1" applyFill="1" applyBorder="1" applyAlignment="1">
      <alignment horizontal="left"/>
    </xf>
    <xf numFmtId="5" fontId="7" fillId="0" borderId="13" xfId="46" applyNumberFormat="1" applyFont="1" applyFill="1" applyBorder="1" applyAlignment="1">
      <alignment horizontal="right"/>
    </xf>
    <xf numFmtId="164" fontId="7" fillId="0" borderId="14" xfId="46" applyNumberFormat="1" applyFont="1" applyFill="1" applyBorder="1" applyAlignment="1">
      <alignment horizontal="right"/>
    </xf>
    <xf numFmtId="38" fontId="7" fillId="0" borderId="0" xfId="46" applyNumberFormat="1" applyFont="1" applyFill="1" applyBorder="1" applyAlignment="1">
      <alignment horizontal="right"/>
    </xf>
    <xf numFmtId="5" fontId="8" fillId="0" borderId="0" xfId="75" applyNumberFormat="1" applyFont="1">
      <alignment/>
      <protection/>
    </xf>
    <xf numFmtId="7" fontId="8" fillId="0" borderId="0" xfId="75" applyNumberFormat="1" applyFont="1">
      <alignment/>
      <protection/>
    </xf>
    <xf numFmtId="42" fontId="8" fillId="0" borderId="0" xfId="50" applyFont="1" applyFill="1" applyAlignment="1">
      <alignment horizontal="right" wrapText="1"/>
    </xf>
    <xf numFmtId="5" fontId="8" fillId="0" borderId="0" xfId="46" applyNumberFormat="1" applyFont="1" applyFill="1" applyAlignment="1">
      <alignment horizontal="right"/>
    </xf>
    <xf numFmtId="0" fontId="21" fillId="0" borderId="0" xfId="75" applyFont="1">
      <alignment/>
      <protection/>
    </xf>
    <xf numFmtId="5" fontId="8" fillId="0" borderId="0" xfId="46" applyNumberFormat="1" applyFont="1" applyAlignment="1">
      <alignment horizontal="right"/>
    </xf>
    <xf numFmtId="5" fontId="21" fillId="0" borderId="0" xfId="46" applyNumberFormat="1" applyFont="1" applyAlignment="1" quotePrefix="1">
      <alignment horizontal="right"/>
    </xf>
    <xf numFmtId="0" fontId="22" fillId="0" borderId="0" xfId="75" applyFont="1">
      <alignment/>
      <protection/>
    </xf>
    <xf numFmtId="5" fontId="22" fillId="0" borderId="0" xfId="46" applyNumberFormat="1" applyFont="1" applyAlignment="1">
      <alignment horizontal="right"/>
    </xf>
    <xf numFmtId="5" fontId="22" fillId="0" borderId="0" xfId="46" applyNumberFormat="1" applyFont="1" applyAlignment="1" quotePrefix="1">
      <alignment horizontal="right"/>
    </xf>
    <xf numFmtId="0" fontId="7" fillId="0" borderId="0" xfId="75" applyFont="1" applyBorder="1">
      <alignment/>
      <protection/>
    </xf>
    <xf numFmtId="0" fontId="17" fillId="0" borderId="0" xfId="75" applyFont="1">
      <alignment/>
      <protection/>
    </xf>
    <xf numFmtId="0" fontId="4" fillId="0" borderId="0" xfId="75" applyFont="1" applyBorder="1">
      <alignment/>
      <protection/>
    </xf>
    <xf numFmtId="7" fontId="5" fillId="0" borderId="0" xfId="75" applyNumberFormat="1" applyFont="1" applyBorder="1" applyAlignment="1">
      <alignment horizontal="centerContinuous"/>
      <protection/>
    </xf>
    <xf numFmtId="7" fontId="4" fillId="0" borderId="0" xfId="46" applyNumberFormat="1" applyFont="1" applyBorder="1" applyAlignment="1">
      <alignment horizontal="centerContinuous"/>
    </xf>
    <xf numFmtId="7" fontId="8" fillId="0" borderId="0" xfId="75" applyNumberFormat="1" applyFont="1" applyBorder="1">
      <alignment/>
      <protection/>
    </xf>
    <xf numFmtId="7" fontId="7" fillId="33" borderId="13" xfId="46" applyNumberFormat="1" applyFont="1" applyFill="1" applyBorder="1" applyAlignment="1">
      <alignment horizontal="centerContinuous"/>
    </xf>
    <xf numFmtId="7" fontId="7" fillId="33" borderId="0" xfId="46" applyNumberFormat="1" applyFont="1" applyFill="1" applyBorder="1" applyAlignment="1">
      <alignment horizontal="centerContinuous"/>
    </xf>
    <xf numFmtId="0" fontId="8" fillId="0" borderId="0" xfId="75" applyFont="1" applyBorder="1">
      <alignment/>
      <protection/>
    </xf>
    <xf numFmtId="7" fontId="20" fillId="0" borderId="0" xfId="46" applyNumberFormat="1" applyFont="1" applyBorder="1" applyAlignment="1">
      <alignment/>
    </xf>
    <xf numFmtId="7" fontId="20" fillId="0" borderId="15" xfId="46" applyNumberFormat="1" applyFont="1" applyBorder="1" applyAlignment="1">
      <alignment/>
    </xf>
    <xf numFmtId="7" fontId="20" fillId="0" borderId="0" xfId="75" applyNumberFormat="1" applyFont="1" applyBorder="1">
      <alignment/>
      <protection/>
    </xf>
    <xf numFmtId="7" fontId="20" fillId="0" borderId="16" xfId="46" applyNumberFormat="1" applyFont="1" applyBorder="1" applyAlignment="1">
      <alignment/>
    </xf>
    <xf numFmtId="7" fontId="8" fillId="0" borderId="0" xfId="46" applyNumberFormat="1" applyFont="1" applyBorder="1" applyAlignment="1">
      <alignment/>
    </xf>
    <xf numFmtId="5" fontId="7" fillId="0" borderId="16" xfId="46" applyNumberFormat="1" applyFont="1" applyBorder="1" applyAlignment="1">
      <alignment/>
    </xf>
    <xf numFmtId="7" fontId="8" fillId="0" borderId="16" xfId="46" applyNumberFormat="1" applyFont="1" applyBorder="1" applyAlignment="1">
      <alignment/>
    </xf>
    <xf numFmtId="164" fontId="8" fillId="0" borderId="0" xfId="46" applyNumberFormat="1" applyFont="1" applyBorder="1" applyAlignment="1">
      <alignment/>
    </xf>
    <xf numFmtId="164" fontId="8" fillId="0" borderId="0" xfId="75" applyNumberFormat="1" applyFont="1" applyBorder="1">
      <alignment/>
      <protection/>
    </xf>
    <xf numFmtId="164" fontId="8" fillId="0" borderId="13" xfId="46" applyNumberFormat="1" applyFont="1" applyBorder="1" applyAlignment="1">
      <alignment/>
    </xf>
    <xf numFmtId="164" fontId="8" fillId="0" borderId="17" xfId="46" applyNumberFormat="1" applyFont="1" applyBorder="1" applyAlignment="1">
      <alignment/>
    </xf>
    <xf numFmtId="164" fontId="8" fillId="0" borderId="16" xfId="46" applyNumberFormat="1" applyFont="1" applyBorder="1" applyAlignment="1">
      <alignment/>
    </xf>
    <xf numFmtId="38" fontId="8" fillId="0" borderId="16" xfId="46" applyNumberFormat="1" applyFont="1" applyBorder="1" applyAlignment="1">
      <alignment/>
    </xf>
    <xf numFmtId="38" fontId="8" fillId="0" borderId="0" xfId="46" applyNumberFormat="1" applyFont="1" applyBorder="1" applyAlignment="1">
      <alignment/>
    </xf>
    <xf numFmtId="38" fontId="8" fillId="0" borderId="13" xfId="46" applyNumberFormat="1" applyFont="1" applyBorder="1" applyAlignment="1">
      <alignment/>
    </xf>
    <xf numFmtId="38" fontId="8" fillId="0" borderId="0" xfId="75" applyNumberFormat="1" applyFont="1" applyBorder="1">
      <alignment/>
      <protection/>
    </xf>
    <xf numFmtId="38" fontId="8" fillId="0" borderId="18" xfId="46" applyNumberFormat="1" applyFont="1" applyBorder="1" applyAlignment="1">
      <alignment/>
    </xf>
    <xf numFmtId="164" fontId="8" fillId="0" borderId="19" xfId="46" applyNumberFormat="1" applyFont="1" applyBorder="1" applyAlignment="1">
      <alignment/>
    </xf>
    <xf numFmtId="7" fontId="8" fillId="0" borderId="17" xfId="46" applyNumberFormat="1" applyFont="1" applyBorder="1" applyAlignment="1">
      <alignment/>
    </xf>
    <xf numFmtId="7" fontId="7" fillId="0" borderId="0" xfId="75" applyNumberFormat="1" applyFont="1" applyBorder="1">
      <alignment/>
      <protection/>
    </xf>
    <xf numFmtId="6" fontId="7" fillId="0" borderId="20" xfId="46" applyNumberFormat="1" applyFont="1" applyBorder="1" applyAlignment="1">
      <alignment/>
    </xf>
    <xf numFmtId="0" fontId="24" fillId="0" borderId="0" xfId="75" applyFont="1" applyBorder="1">
      <alignment/>
      <protection/>
    </xf>
    <xf numFmtId="0" fontId="26" fillId="0" borderId="0" xfId="75" applyFont="1" applyFill="1" applyBorder="1">
      <alignment/>
      <protection/>
    </xf>
    <xf numFmtId="0" fontId="17" fillId="0" borderId="0" xfId="75" applyFont="1" applyAlignment="1">
      <alignment/>
      <protection/>
    </xf>
    <xf numFmtId="0" fontId="6" fillId="0" borderId="0" xfId="75" applyFont="1" applyFill="1" applyBorder="1">
      <alignment/>
      <protection/>
    </xf>
    <xf numFmtId="43" fontId="17" fillId="0" borderId="0" xfId="75" applyNumberFormat="1" applyFont="1" applyFill="1" applyBorder="1" applyAlignment="1">
      <alignment horizontal="centerContinuous"/>
      <protection/>
    </xf>
    <xf numFmtId="164" fontId="17" fillId="0" borderId="0" xfId="75" applyNumberFormat="1" applyFont="1" applyFill="1" applyBorder="1" applyAlignment="1">
      <alignment horizontal="centerContinuous"/>
      <protection/>
    </xf>
    <xf numFmtId="164" fontId="17" fillId="0" borderId="0" xfId="46" applyNumberFormat="1" applyFont="1" applyFill="1" applyBorder="1" applyAlignment="1">
      <alignment horizontal="centerContinuous"/>
    </xf>
    <xf numFmtId="164" fontId="27" fillId="0" borderId="0" xfId="46" applyNumberFormat="1" applyFont="1" applyBorder="1" applyAlignment="1">
      <alignment horizontal="centerContinuous"/>
    </xf>
    <xf numFmtId="164" fontId="27" fillId="0" borderId="0" xfId="46" applyNumberFormat="1" applyFont="1" applyFill="1" applyBorder="1" applyAlignment="1">
      <alignment horizontal="centerContinuous"/>
    </xf>
    <xf numFmtId="0" fontId="27" fillId="0" borderId="0" xfId="75" applyFont="1" applyFill="1" applyBorder="1">
      <alignment/>
      <protection/>
    </xf>
    <xf numFmtId="43" fontId="7" fillId="0" borderId="0" xfId="75" applyNumberFormat="1" applyFont="1" applyFill="1" applyBorder="1" applyAlignment="1">
      <alignment horizontal="left" wrapText="1"/>
      <protection/>
    </xf>
    <xf numFmtId="164" fontId="13" fillId="33" borderId="0" xfId="46" applyNumberFormat="1" applyFont="1" applyFill="1" applyAlignment="1">
      <alignment horizontal="center" wrapText="1"/>
    </xf>
    <xf numFmtId="164" fontId="13" fillId="33" borderId="0" xfId="46" applyNumberFormat="1" applyFont="1" applyFill="1" applyBorder="1" applyAlignment="1">
      <alignment horizontal="center" wrapText="1"/>
    </xf>
    <xf numFmtId="0" fontId="7" fillId="0" borderId="0" xfId="75" applyFont="1" applyFill="1" applyBorder="1" applyAlignment="1">
      <alignment horizontal="left" wrapText="1"/>
      <protection/>
    </xf>
    <xf numFmtId="43" fontId="20" fillId="0" borderId="0" xfId="75" applyNumberFormat="1" applyFont="1" applyFill="1" applyBorder="1" applyAlignment="1">
      <alignment horizontal="left" wrapText="1"/>
      <protection/>
    </xf>
    <xf numFmtId="164" fontId="20" fillId="0" borderId="0" xfId="75" applyNumberFormat="1" applyFont="1" applyFill="1" applyBorder="1" applyAlignment="1">
      <alignment horizontal="left" wrapText="1"/>
      <protection/>
    </xf>
    <xf numFmtId="164" fontId="20" fillId="0" borderId="0" xfId="46" applyNumberFormat="1" applyFont="1" applyFill="1" applyBorder="1" applyAlignment="1">
      <alignment horizontal="left" wrapText="1"/>
    </xf>
    <xf numFmtId="0" fontId="8" fillId="0" borderId="0" xfId="75" applyFont="1" applyFill="1" applyBorder="1" applyAlignment="1">
      <alignment horizontal="left" wrapText="1"/>
      <protection/>
    </xf>
    <xf numFmtId="43" fontId="8" fillId="0" borderId="0" xfId="75" applyNumberFormat="1" applyFont="1" applyFill="1" applyBorder="1" applyAlignment="1">
      <alignment/>
      <protection/>
    </xf>
    <xf numFmtId="6" fontId="8" fillId="0" borderId="0" xfId="51" applyNumberFormat="1" applyFont="1" applyFill="1" applyBorder="1" applyAlignment="1">
      <alignment/>
    </xf>
    <xf numFmtId="164" fontId="7" fillId="0" borderId="0" xfId="46" applyNumberFormat="1" applyFont="1" applyFill="1" applyBorder="1" applyAlignment="1">
      <alignment/>
    </xf>
    <xf numFmtId="5" fontId="8" fillId="0" borderId="0" xfId="51" applyNumberFormat="1" applyFont="1" applyFill="1" applyBorder="1" applyAlignment="1">
      <alignment/>
    </xf>
    <xf numFmtId="0" fontId="8" fillId="0" borderId="0" xfId="75" applyFont="1" applyFill="1" applyBorder="1">
      <alignment/>
      <protection/>
    </xf>
    <xf numFmtId="38" fontId="8" fillId="0" borderId="0" xfId="46" applyNumberFormat="1" applyFont="1" applyFill="1" applyBorder="1" applyAlignment="1">
      <alignment/>
    </xf>
    <xf numFmtId="164" fontId="8" fillId="0" borderId="0" xfId="46" applyNumberFormat="1" applyFont="1" applyFill="1" applyBorder="1" applyAlignment="1">
      <alignment/>
    </xf>
    <xf numFmtId="164" fontId="8" fillId="0" borderId="0" xfId="75" applyNumberFormat="1" applyFont="1" applyFill="1" applyBorder="1">
      <alignment/>
      <protection/>
    </xf>
    <xf numFmtId="14" fontId="8" fillId="0" borderId="0" xfId="75" applyNumberFormat="1" applyFont="1" applyFill="1" applyBorder="1">
      <alignment/>
      <protection/>
    </xf>
    <xf numFmtId="43" fontId="8" fillId="0" borderId="0" xfId="75" applyNumberFormat="1" applyFont="1" applyFill="1" applyBorder="1">
      <alignment/>
      <protection/>
    </xf>
    <xf numFmtId="38" fontId="8" fillId="0" borderId="14" xfId="46" applyNumberFormat="1" applyFont="1" applyFill="1" applyBorder="1" applyAlignment="1">
      <alignment/>
    </xf>
    <xf numFmtId="164" fontId="7" fillId="0" borderId="14" xfId="46" applyNumberFormat="1" applyFont="1" applyFill="1" applyBorder="1" applyAlignment="1">
      <alignment/>
    </xf>
    <xf numFmtId="164" fontId="7" fillId="0" borderId="21" xfId="46" applyNumberFormat="1" applyFont="1" applyFill="1" applyBorder="1" applyAlignment="1">
      <alignment/>
    </xf>
    <xf numFmtId="164" fontId="8" fillId="0" borderId="0" xfId="46" applyNumberFormat="1" applyFont="1" applyFill="1" applyBorder="1" applyAlignment="1">
      <alignment/>
    </xf>
    <xf numFmtId="164" fontId="20" fillId="0" borderId="0" xfId="46" applyNumberFormat="1" applyFont="1" applyFill="1" applyBorder="1" applyAlignment="1">
      <alignment wrapText="1"/>
    </xf>
    <xf numFmtId="43" fontId="8" fillId="0" borderId="0" xfId="75" applyNumberFormat="1" applyFont="1" applyFill="1" applyBorder="1" applyAlignment="1">
      <alignment horizontal="left"/>
      <protection/>
    </xf>
    <xf numFmtId="43" fontId="7" fillId="0" borderId="0" xfId="75" applyNumberFormat="1" applyFont="1" applyFill="1" applyBorder="1">
      <alignment/>
      <protection/>
    </xf>
    <xf numFmtId="38" fontId="7" fillId="0" borderId="14" xfId="46" applyNumberFormat="1" applyFont="1" applyFill="1" applyBorder="1" applyAlignment="1">
      <alignment/>
    </xf>
    <xf numFmtId="38" fontId="7" fillId="0" borderId="21" xfId="46" applyNumberFormat="1" applyFont="1" applyFill="1" applyBorder="1" applyAlignment="1">
      <alignment/>
    </xf>
    <xf numFmtId="164" fontId="8" fillId="0" borderId="14" xfId="46" applyNumberFormat="1" applyFont="1" applyFill="1" applyBorder="1" applyAlignment="1">
      <alignment/>
    </xf>
    <xf numFmtId="43" fontId="20" fillId="0" borderId="0" xfId="75" applyNumberFormat="1" applyFont="1" applyFill="1" applyBorder="1">
      <alignment/>
      <protection/>
    </xf>
    <xf numFmtId="164" fontId="20" fillId="0" borderId="0" xfId="46" applyNumberFormat="1" applyFont="1" applyFill="1" applyBorder="1" applyAlignment="1">
      <alignment/>
    </xf>
    <xf numFmtId="5" fontId="8" fillId="0" borderId="0" xfId="75" applyNumberFormat="1" applyFont="1" applyFill="1" applyBorder="1">
      <alignment/>
      <protection/>
    </xf>
    <xf numFmtId="43" fontId="8" fillId="0" borderId="0" xfId="75" applyNumberFormat="1" applyFont="1" applyFill="1" applyBorder="1" applyAlignment="1">
      <alignment horizontal="left" wrapText="1"/>
      <protection/>
    </xf>
    <xf numFmtId="6" fontId="7" fillId="0" borderId="21" xfId="46" applyNumberFormat="1" applyFont="1" applyFill="1" applyBorder="1" applyAlignment="1">
      <alignment/>
    </xf>
    <xf numFmtId="164" fontId="8" fillId="0" borderId="0" xfId="75" applyNumberFormat="1" applyFont="1" applyFill="1" applyBorder="1" applyAlignment="1">
      <alignment horizontal="left" wrapText="1"/>
      <protection/>
    </xf>
    <xf numFmtId="0" fontId="4" fillId="0" borderId="0" xfId="75" applyFont="1" applyFill="1" applyBorder="1">
      <alignment/>
      <protection/>
    </xf>
    <xf numFmtId="164" fontId="4" fillId="0" borderId="0" xfId="75" applyNumberFormat="1" applyFont="1" applyFill="1" applyBorder="1">
      <alignment/>
      <protection/>
    </xf>
    <xf numFmtId="164" fontId="4" fillId="0" borderId="0" xfId="46" applyNumberFormat="1" applyFont="1" applyFill="1" applyBorder="1" applyAlignment="1">
      <alignment/>
    </xf>
    <xf numFmtId="164" fontId="4" fillId="0" borderId="0" xfId="46" applyNumberFormat="1" applyFont="1" applyFill="1" applyBorder="1" applyAlignment="1">
      <alignment horizontal="right"/>
    </xf>
    <xf numFmtId="43" fontId="17" fillId="0" borderId="0" xfId="75" applyNumberFormat="1" applyFont="1" applyFill="1" applyBorder="1" applyAlignment="1">
      <alignment horizontal="center"/>
      <protection/>
    </xf>
    <xf numFmtId="164" fontId="17" fillId="0" borderId="0" xfId="75" applyNumberFormat="1" applyFont="1" applyFill="1" applyBorder="1" applyAlignment="1">
      <alignment horizontal="center"/>
      <protection/>
    </xf>
    <xf numFmtId="164" fontId="17" fillId="0" borderId="0" xfId="46" applyNumberFormat="1" applyFont="1" applyFill="1" applyBorder="1" applyAlignment="1">
      <alignment horizontal="center"/>
    </xf>
    <xf numFmtId="164" fontId="27" fillId="0" borderId="0" xfId="46" applyNumberFormat="1" applyFont="1" applyBorder="1" applyAlignment="1">
      <alignment horizontal="center"/>
    </xf>
    <xf numFmtId="164" fontId="27" fillId="0" borderId="0" xfId="46" applyNumberFormat="1" applyFont="1" applyFill="1" applyBorder="1" applyAlignment="1">
      <alignment horizontal="center"/>
    </xf>
    <xf numFmtId="43" fontId="7" fillId="0" borderId="14" xfId="46" applyNumberFormat="1" applyFont="1" applyFill="1" applyBorder="1" applyAlignment="1">
      <alignment/>
    </xf>
    <xf numFmtId="43" fontId="7" fillId="0" borderId="14" xfId="46" applyNumberFormat="1" applyFont="1" applyFill="1" applyBorder="1" applyAlignment="1">
      <alignment/>
    </xf>
    <xf numFmtId="164" fontId="28" fillId="0" borderId="0" xfId="46" applyNumberFormat="1" applyFont="1" applyBorder="1" applyAlignment="1">
      <alignment/>
    </xf>
    <xf numFmtId="0" fontId="28" fillId="0" borderId="0" xfId="75" applyFont="1" applyBorder="1">
      <alignment/>
      <protection/>
    </xf>
    <xf numFmtId="164" fontId="6" fillId="0" borderId="0" xfId="46" applyNumberFormat="1" applyFont="1" applyBorder="1" applyAlignment="1">
      <alignment/>
    </xf>
    <xf numFmtId="0" fontId="6" fillId="0" borderId="0" xfId="75" applyFont="1" applyBorder="1">
      <alignment/>
      <protection/>
    </xf>
    <xf numFmtId="43" fontId="17" fillId="0" borderId="22" xfId="75" applyNumberFormat="1" applyFont="1" applyBorder="1" applyAlignment="1">
      <alignment horizontal="centerContinuous"/>
      <protection/>
    </xf>
    <xf numFmtId="43" fontId="8" fillId="0" borderId="0" xfId="46" applyNumberFormat="1" applyFont="1" applyBorder="1" applyAlignment="1">
      <alignment horizontal="centerContinuous"/>
    </xf>
    <xf numFmtId="43" fontId="8" fillId="0" borderId="16" xfId="46" applyNumberFormat="1" applyFont="1" applyBorder="1" applyAlignment="1">
      <alignment horizontal="centerContinuous"/>
    </xf>
    <xf numFmtId="43" fontId="8" fillId="0" borderId="22" xfId="75" applyNumberFormat="1" applyFont="1" applyBorder="1" applyAlignment="1" quotePrefix="1">
      <alignment wrapText="1"/>
      <protection/>
    </xf>
    <xf numFmtId="43" fontId="8" fillId="0" borderId="22" xfId="75" applyNumberFormat="1" applyFont="1" applyBorder="1" applyAlignment="1">
      <alignment horizontal="center" wrapText="1"/>
      <protection/>
    </xf>
    <xf numFmtId="43" fontId="7" fillId="33" borderId="23" xfId="46" applyNumberFormat="1" applyFont="1" applyFill="1" applyBorder="1" applyAlignment="1" quotePrefix="1">
      <alignment horizontal="centerContinuous"/>
    </xf>
    <xf numFmtId="14" fontId="7" fillId="33" borderId="24" xfId="46" applyNumberFormat="1" applyFont="1" applyFill="1" applyBorder="1" applyAlignment="1" quotePrefix="1">
      <alignment horizontal="centerContinuous" wrapText="1"/>
    </xf>
    <xf numFmtId="43" fontId="8" fillId="33" borderId="15" xfId="46" applyNumberFormat="1" applyFont="1" applyFill="1" applyBorder="1" applyAlignment="1">
      <alignment horizontal="centerContinuous"/>
    </xf>
    <xf numFmtId="43" fontId="7" fillId="33" borderId="25" xfId="46" applyNumberFormat="1" applyFont="1" applyFill="1" applyBorder="1" applyAlignment="1">
      <alignment horizontal="centerContinuous"/>
    </xf>
    <xf numFmtId="43" fontId="7" fillId="33" borderId="13" xfId="46" applyNumberFormat="1" applyFont="1" applyFill="1" applyBorder="1" applyAlignment="1">
      <alignment horizontal="centerContinuous"/>
    </xf>
    <xf numFmtId="43" fontId="7" fillId="33" borderId="17" xfId="46" applyNumberFormat="1" applyFont="1" applyFill="1" applyBorder="1" applyAlignment="1">
      <alignment horizontal="centerContinuous"/>
    </xf>
    <xf numFmtId="43" fontId="8" fillId="0" borderId="23" xfId="75" applyNumberFormat="1" applyFont="1" applyBorder="1" applyAlignment="1">
      <alignment horizontal="center" wrapText="1"/>
      <protection/>
    </xf>
    <xf numFmtId="43" fontId="7" fillId="0" borderId="23" xfId="46" applyNumberFormat="1" applyFont="1" applyBorder="1" applyAlignment="1">
      <alignment horizontal="centerContinuous"/>
    </xf>
    <xf numFmtId="43" fontId="7" fillId="0" borderId="24" xfId="46" applyNumberFormat="1" applyFont="1" applyBorder="1" applyAlignment="1">
      <alignment horizontal="centerContinuous"/>
    </xf>
    <xf numFmtId="164" fontId="8" fillId="0" borderId="16" xfId="46" applyNumberFormat="1" applyFont="1" applyFill="1" applyBorder="1" applyAlignment="1">
      <alignment horizontal="right"/>
    </xf>
    <xf numFmtId="43" fontId="7" fillId="0" borderId="22" xfId="75" applyNumberFormat="1" applyFont="1" applyBorder="1" applyAlignment="1">
      <alignment horizontal="center" wrapText="1"/>
      <protection/>
    </xf>
    <xf numFmtId="164" fontId="8" fillId="0" borderId="22" xfId="46" applyNumberFormat="1" applyFont="1" applyBorder="1" applyAlignment="1">
      <alignment horizontal="right"/>
    </xf>
    <xf numFmtId="43" fontId="8" fillId="0" borderId="22" xfId="75" applyNumberFormat="1" applyFont="1" applyBorder="1" applyAlignment="1">
      <alignment horizontal="left" wrapText="1"/>
      <protection/>
    </xf>
    <xf numFmtId="164" fontId="8" fillId="0" borderId="25" xfId="46" applyNumberFormat="1" applyFont="1" applyBorder="1" applyAlignment="1">
      <alignment horizontal="right"/>
    </xf>
    <xf numFmtId="38" fontId="8" fillId="0" borderId="13" xfId="46" applyNumberFormat="1" applyFont="1" applyBorder="1" applyAlignment="1">
      <alignment horizontal="right"/>
    </xf>
    <xf numFmtId="5" fontId="7" fillId="0" borderId="17" xfId="46" applyNumberFormat="1" applyFont="1" applyFill="1" applyBorder="1" applyAlignment="1">
      <alignment horizontal="right"/>
    </xf>
    <xf numFmtId="164" fontId="8" fillId="0" borderId="13" xfId="46" applyNumberFormat="1" applyFont="1" applyBorder="1" applyAlignment="1">
      <alignment horizontal="right"/>
    </xf>
    <xf numFmtId="164" fontId="29" fillId="0" borderId="22" xfId="46" applyNumberFormat="1" applyFont="1" applyBorder="1" applyAlignment="1">
      <alignment horizontal="right"/>
    </xf>
    <xf numFmtId="164" fontId="7" fillId="0" borderId="0" xfId="46" applyNumberFormat="1" applyFont="1" applyBorder="1" applyAlignment="1">
      <alignment horizontal="right"/>
    </xf>
    <xf numFmtId="164" fontId="8" fillId="0" borderId="17" xfId="46" applyNumberFormat="1" applyFont="1" applyFill="1" applyBorder="1" applyAlignment="1">
      <alignment horizontal="right"/>
    </xf>
    <xf numFmtId="6" fontId="7" fillId="0" borderId="16" xfId="46" applyNumberFormat="1" applyFont="1" applyFill="1" applyBorder="1" applyAlignment="1">
      <alignment horizontal="right"/>
    </xf>
    <xf numFmtId="164" fontId="7" fillId="0" borderId="0" xfId="46" applyNumberFormat="1" applyFont="1" applyBorder="1" applyAlignment="1">
      <alignment/>
    </xf>
    <xf numFmtId="164" fontId="8" fillId="0" borderId="26" xfId="46" applyNumberFormat="1" applyFont="1" applyFill="1" applyBorder="1" applyAlignment="1">
      <alignment horizontal="right"/>
    </xf>
    <xf numFmtId="37" fontId="8" fillId="0" borderId="0" xfId="75" applyNumberFormat="1" applyFont="1" applyBorder="1">
      <alignment/>
      <protection/>
    </xf>
    <xf numFmtId="6" fontId="7" fillId="0" borderId="17" xfId="46" applyNumberFormat="1" applyFont="1" applyFill="1" applyBorder="1" applyAlignment="1">
      <alignment horizontal="right"/>
    </xf>
    <xf numFmtId="6" fontId="8" fillId="0" borderId="0" xfId="75" applyNumberFormat="1" applyFont="1" applyBorder="1">
      <alignment/>
      <protection/>
    </xf>
    <xf numFmtId="38" fontId="8" fillId="0" borderId="17" xfId="46" applyNumberFormat="1" applyFont="1" applyFill="1" applyBorder="1" applyAlignment="1">
      <alignment horizontal="right"/>
    </xf>
    <xf numFmtId="43" fontId="7" fillId="0" borderId="25" xfId="75" applyNumberFormat="1" applyFont="1" applyBorder="1" applyAlignment="1">
      <alignment horizontal="center" wrapText="1"/>
      <protection/>
    </xf>
    <xf numFmtId="43" fontId="8" fillId="0" borderId="0" xfId="75" applyNumberFormat="1" applyFont="1" applyBorder="1">
      <alignment/>
      <protection/>
    </xf>
    <xf numFmtId="0" fontId="8" fillId="0" borderId="0" xfId="75" applyFont="1" applyBorder="1" applyAlignment="1">
      <alignment horizontal="left" wrapText="1"/>
      <protection/>
    </xf>
    <xf numFmtId="43" fontId="8" fillId="0" borderId="0" xfId="46" applyNumberFormat="1" applyFont="1" applyBorder="1" applyAlignment="1">
      <alignment horizontal="right"/>
    </xf>
    <xf numFmtId="43" fontId="8" fillId="0" borderId="0" xfId="46" applyNumberFormat="1" applyFont="1" applyBorder="1" applyAlignment="1">
      <alignment horizontal="left"/>
    </xf>
    <xf numFmtId="43" fontId="7" fillId="0" borderId="0" xfId="46" applyNumberFormat="1" applyFont="1" applyBorder="1" applyAlignment="1">
      <alignment horizontal="right"/>
    </xf>
    <xf numFmtId="43" fontId="8" fillId="0" borderId="0" xfId="46" applyNumberFormat="1" applyFont="1" applyBorder="1" applyAlignment="1">
      <alignment/>
    </xf>
    <xf numFmtId="0" fontId="8" fillId="0" borderId="0" xfId="75" applyFont="1" applyBorder="1" applyAlignment="1">
      <alignment wrapText="1"/>
      <protection/>
    </xf>
    <xf numFmtId="0" fontId="4" fillId="0" borderId="0" xfId="75" applyFont="1" applyBorder="1" applyAlignment="1">
      <alignment wrapText="1"/>
      <protection/>
    </xf>
    <xf numFmtId="43" fontId="4" fillId="0" borderId="0" xfId="46" applyNumberFormat="1" applyFont="1" applyBorder="1" applyAlignment="1">
      <alignment/>
    </xf>
    <xf numFmtId="164" fontId="4" fillId="0" borderId="0" xfId="46" applyNumberFormat="1" applyFont="1" applyBorder="1" applyAlignment="1">
      <alignment/>
    </xf>
    <xf numFmtId="7" fontId="25" fillId="0" borderId="0" xfId="75" applyNumberFormat="1" applyFont="1" applyFill="1" applyAlignment="1">
      <alignment horizontal="centerContinuous"/>
      <protection/>
    </xf>
    <xf numFmtId="7" fontId="25" fillId="0" borderId="0" xfId="46" applyNumberFormat="1" applyFont="1" applyFill="1" applyAlignment="1">
      <alignment horizontal="centerContinuous"/>
    </xf>
    <xf numFmtId="7" fontId="30" fillId="0" borderId="0" xfId="46" applyNumberFormat="1" applyFont="1" applyAlignment="1">
      <alignment horizontal="centerContinuous"/>
    </xf>
    <xf numFmtId="0" fontId="30" fillId="0" borderId="0" xfId="75" applyFont="1">
      <alignment/>
      <protection/>
    </xf>
    <xf numFmtId="7" fontId="17" fillId="0" borderId="0" xfId="75" applyNumberFormat="1" applyFont="1" applyFill="1" applyAlignment="1">
      <alignment horizontal="centerContinuous"/>
      <protection/>
    </xf>
    <xf numFmtId="7" fontId="4" fillId="0" borderId="0" xfId="46" applyNumberFormat="1" applyFont="1" applyAlignment="1">
      <alignment horizontal="centerContinuous"/>
    </xf>
    <xf numFmtId="7" fontId="8" fillId="0" borderId="0" xfId="46" applyNumberFormat="1" applyFont="1" applyAlignment="1">
      <alignment horizontal="centerContinuous"/>
    </xf>
    <xf numFmtId="0" fontId="31" fillId="0" borderId="0" xfId="75" applyFont="1">
      <alignment/>
      <protection/>
    </xf>
    <xf numFmtId="7" fontId="5" fillId="0" borderId="0" xfId="75" applyNumberFormat="1" applyFont="1" applyFill="1" applyAlignment="1">
      <alignment horizontal="centerContinuous"/>
      <protection/>
    </xf>
    <xf numFmtId="7" fontId="5" fillId="0" borderId="0" xfId="46" applyNumberFormat="1" applyFont="1" applyFill="1" applyAlignment="1">
      <alignment horizontal="centerContinuous"/>
    </xf>
    <xf numFmtId="7" fontId="6" fillId="0" borderId="0" xfId="46" applyNumberFormat="1" applyFont="1" applyAlignment="1">
      <alignment horizontal="centerContinuous"/>
    </xf>
    <xf numFmtId="0" fontId="6" fillId="0" borderId="0" xfId="75" applyFont="1">
      <alignment/>
      <protection/>
    </xf>
    <xf numFmtId="7" fontId="6" fillId="0" borderId="0" xfId="75" applyNumberFormat="1" applyFont="1" applyFill="1" applyAlignment="1">
      <alignment horizontal="centerContinuous"/>
      <protection/>
    </xf>
    <xf numFmtId="7" fontId="6" fillId="0" borderId="0" xfId="46" applyNumberFormat="1" applyFont="1" applyFill="1" applyAlignment="1">
      <alignment horizontal="centerContinuous"/>
    </xf>
    <xf numFmtId="164" fontId="15" fillId="33" borderId="0" xfId="46" applyNumberFormat="1" applyFont="1" applyFill="1" applyAlignment="1">
      <alignment horizontal="centerContinuous" wrapText="1"/>
    </xf>
    <xf numFmtId="7" fontId="15" fillId="33" borderId="0" xfId="46" applyNumberFormat="1" applyFont="1" applyFill="1" applyAlignment="1">
      <alignment horizontal="center" wrapText="1"/>
    </xf>
    <xf numFmtId="7" fontId="7" fillId="0" borderId="0" xfId="75" applyNumberFormat="1" applyFont="1" applyFill="1" applyAlignment="1">
      <alignment horizontal="left" wrapText="1"/>
      <protection/>
    </xf>
    <xf numFmtId="0" fontId="7" fillId="0" borderId="0" xfId="75" applyFont="1" applyAlignment="1">
      <alignment horizontal="left" wrapText="1"/>
      <protection/>
    </xf>
    <xf numFmtId="7" fontId="7" fillId="0" borderId="0" xfId="75" applyNumberFormat="1" applyFont="1" applyFill="1" applyAlignment="1">
      <alignment horizontal="center" wrapText="1"/>
      <protection/>
    </xf>
    <xf numFmtId="7" fontId="8" fillId="0" borderId="0" xfId="46" applyNumberFormat="1" applyFont="1" applyFill="1" applyAlignment="1">
      <alignment/>
    </xf>
    <xf numFmtId="7" fontId="8" fillId="0" borderId="0" xfId="75" applyNumberFormat="1" applyFont="1" applyFill="1">
      <alignment/>
      <protection/>
    </xf>
    <xf numFmtId="6" fontId="8" fillId="0" borderId="0" xfId="46" applyNumberFormat="1" applyFont="1" applyFill="1" applyBorder="1" applyAlignment="1">
      <alignment horizontal="right"/>
    </xf>
    <xf numFmtId="43" fontId="7" fillId="0" borderId="0" xfId="46" applyNumberFormat="1" applyFont="1" applyAlignment="1">
      <alignment/>
    </xf>
    <xf numFmtId="164" fontId="8" fillId="0" borderId="0" xfId="46" applyNumberFormat="1" applyFont="1" applyAlignment="1">
      <alignment/>
    </xf>
    <xf numFmtId="38" fontId="8" fillId="0" borderId="0" xfId="46" applyNumberFormat="1" applyFont="1" applyAlignment="1">
      <alignment/>
    </xf>
    <xf numFmtId="7" fontId="7" fillId="0" borderId="0" xfId="75" applyNumberFormat="1" applyFont="1" applyFill="1" applyAlignment="1">
      <alignment horizontal="center"/>
      <protection/>
    </xf>
    <xf numFmtId="164" fontId="8" fillId="0" borderId="14" xfId="46" applyNumberFormat="1" applyFont="1" applyFill="1" applyBorder="1" applyAlignment="1">
      <alignment horizontal="right"/>
    </xf>
    <xf numFmtId="38" fontId="8" fillId="0" borderId="14" xfId="46" applyNumberFormat="1" applyFont="1" applyFill="1" applyBorder="1" applyAlignment="1">
      <alignment horizontal="right"/>
    </xf>
    <xf numFmtId="43" fontId="7" fillId="0" borderId="14" xfId="46" applyNumberFormat="1" applyFont="1" applyBorder="1" applyAlignment="1">
      <alignment/>
    </xf>
    <xf numFmtId="164" fontId="7" fillId="0" borderId="21" xfId="46" applyNumberFormat="1" applyFont="1" applyBorder="1" applyAlignment="1">
      <alignment/>
    </xf>
    <xf numFmtId="164" fontId="8" fillId="0" borderId="0" xfId="46" applyNumberFormat="1" applyFont="1" applyFill="1" applyAlignment="1">
      <alignment horizontal="right"/>
    </xf>
    <xf numFmtId="164" fontId="8" fillId="0" borderId="0" xfId="46" applyNumberFormat="1" applyFont="1" applyAlignment="1">
      <alignment/>
    </xf>
    <xf numFmtId="164" fontId="9" fillId="0" borderId="0" xfId="46" applyNumberFormat="1" applyFont="1" applyFill="1" applyBorder="1" applyAlignment="1">
      <alignment horizontal="right"/>
    </xf>
    <xf numFmtId="164" fontId="32" fillId="0" borderId="0" xfId="46" applyNumberFormat="1" applyFont="1" applyFill="1" applyAlignment="1">
      <alignment horizontal="right"/>
    </xf>
    <xf numFmtId="164" fontId="7" fillId="0" borderId="0" xfId="46" applyNumberFormat="1" applyFont="1" applyAlignment="1">
      <alignment/>
    </xf>
    <xf numFmtId="164" fontId="7" fillId="0" borderId="14" xfId="46" applyNumberFormat="1" applyFont="1" applyBorder="1" applyAlignment="1">
      <alignment/>
    </xf>
    <xf numFmtId="164" fontId="7" fillId="0" borderId="21" xfId="46" applyNumberFormat="1" applyFont="1" applyBorder="1" applyAlignment="1">
      <alignment horizontal="right"/>
    </xf>
    <xf numFmtId="7" fontId="32" fillId="0" borderId="0" xfId="75" applyNumberFormat="1" applyFont="1" applyFill="1">
      <alignment/>
      <protection/>
    </xf>
    <xf numFmtId="164" fontId="32" fillId="0" borderId="0" xfId="46" applyNumberFormat="1" applyFont="1" applyAlignment="1">
      <alignment/>
    </xf>
    <xf numFmtId="38" fontId="32" fillId="0" borderId="0" xfId="75" applyNumberFormat="1" applyFont="1">
      <alignment/>
      <protection/>
    </xf>
    <xf numFmtId="38" fontId="8" fillId="0" borderId="0" xfId="46" applyNumberFormat="1" applyFont="1" applyFill="1" applyAlignment="1">
      <alignment horizontal="right"/>
    </xf>
    <xf numFmtId="7" fontId="8" fillId="0" borderId="0" xfId="75" applyNumberFormat="1" applyFont="1" applyFill="1" applyBorder="1" applyAlignment="1">
      <alignment horizontal="left"/>
      <protection/>
    </xf>
    <xf numFmtId="5" fontId="7" fillId="0" borderId="21" xfId="46" applyNumberFormat="1" applyFont="1" applyFill="1" applyBorder="1" applyAlignment="1">
      <alignment horizontal="right"/>
    </xf>
    <xf numFmtId="6" fontId="7" fillId="0" borderId="21" xfId="46" applyNumberFormat="1" applyFont="1" applyFill="1" applyBorder="1" applyAlignment="1">
      <alignment horizontal="right"/>
    </xf>
    <xf numFmtId="164" fontId="7" fillId="0" borderId="21" xfId="46" applyNumberFormat="1" applyFont="1" applyBorder="1" applyAlignment="1">
      <alignment/>
    </xf>
    <xf numFmtId="164" fontId="6" fillId="0" borderId="0" xfId="46" applyNumberFormat="1" applyFont="1" applyAlignment="1">
      <alignment/>
    </xf>
    <xf numFmtId="164" fontId="8" fillId="34" borderId="0" xfId="46" applyNumberFormat="1" applyFont="1" applyFill="1" applyAlignment="1">
      <alignment horizontal="right"/>
    </xf>
    <xf numFmtId="38" fontId="8" fillId="0" borderId="0" xfId="46" applyNumberFormat="1" applyFont="1" applyFill="1" applyBorder="1" applyAlignment="1">
      <alignment horizontal="right"/>
    </xf>
    <xf numFmtId="43" fontId="7" fillId="0" borderId="0" xfId="46" applyFont="1" applyFill="1" applyBorder="1" applyAlignment="1">
      <alignment horizontal="right"/>
    </xf>
    <xf numFmtId="38" fontId="24" fillId="0" borderId="0" xfId="75" applyNumberFormat="1" applyFont="1">
      <alignment/>
      <protection/>
    </xf>
    <xf numFmtId="0" fontId="24" fillId="0" borderId="0" xfId="75" applyFont="1">
      <alignment/>
      <protection/>
    </xf>
    <xf numFmtId="0" fontId="33" fillId="0" borderId="0" xfId="75" applyFont="1" applyAlignment="1">
      <alignment horizontal="right"/>
      <protection/>
    </xf>
    <xf numFmtId="0" fontId="24" fillId="0" borderId="0" xfId="75" applyFont="1" applyAlignment="1">
      <alignment horizontal="center"/>
      <protection/>
    </xf>
    <xf numFmtId="0" fontId="33" fillId="0" borderId="0" xfId="75" applyFont="1" applyBorder="1" applyAlignment="1">
      <alignment horizontal="right"/>
      <protection/>
    </xf>
    <xf numFmtId="0" fontId="33" fillId="0" borderId="0" xfId="75" applyFont="1" applyAlignment="1">
      <alignment horizontal="center"/>
      <protection/>
    </xf>
    <xf numFmtId="38" fontId="24" fillId="0" borderId="0" xfId="75" applyNumberFormat="1" applyFont="1" applyAlignment="1">
      <alignment horizontal="right"/>
      <protection/>
    </xf>
    <xf numFmtId="5" fontId="24" fillId="0" borderId="0" xfId="75" applyNumberFormat="1" applyFont="1" applyAlignment="1">
      <alignment horizontal="center"/>
      <protection/>
    </xf>
    <xf numFmtId="5" fontId="34" fillId="0" borderId="0" xfId="75" applyNumberFormat="1" applyFont="1" applyAlignment="1">
      <alignment horizontal="left"/>
      <protection/>
    </xf>
    <xf numFmtId="38" fontId="6" fillId="0" borderId="0" xfId="75" applyNumberFormat="1" applyFont="1">
      <alignment/>
      <protection/>
    </xf>
    <xf numFmtId="0" fontId="34" fillId="0" borderId="0" xfId="75" applyFont="1" applyAlignment="1">
      <alignment horizontal="right"/>
      <protection/>
    </xf>
    <xf numFmtId="5" fontId="24" fillId="0" borderId="0" xfId="75" applyNumberFormat="1" applyFont="1" applyBorder="1">
      <alignment/>
      <protection/>
    </xf>
    <xf numFmtId="5" fontId="24" fillId="0" borderId="0" xfId="75" applyNumberFormat="1" applyFont="1" applyBorder="1" applyAlignment="1">
      <alignment horizontal="center"/>
      <protection/>
    </xf>
    <xf numFmtId="43" fontId="35" fillId="0" borderId="0" xfId="75" applyNumberFormat="1" applyFont="1" applyBorder="1">
      <alignment/>
      <protection/>
    </xf>
    <xf numFmtId="166" fontId="5" fillId="0" borderId="0" xfId="46" applyNumberFormat="1" applyFont="1" applyAlignment="1">
      <alignment horizontal="left"/>
    </xf>
    <xf numFmtId="166" fontId="6" fillId="0" borderId="0" xfId="46" applyNumberFormat="1" applyFont="1" applyAlignment="1">
      <alignment horizontal="centerContinuous"/>
    </xf>
    <xf numFmtId="43" fontId="6" fillId="0" borderId="0" xfId="75" applyNumberFormat="1" applyFont="1" applyBorder="1">
      <alignment/>
      <protection/>
    </xf>
    <xf numFmtId="43" fontId="5" fillId="0" borderId="0" xfId="75" applyNumberFormat="1" applyFont="1" applyBorder="1">
      <alignment/>
      <protection/>
    </xf>
    <xf numFmtId="166" fontId="7" fillId="0" borderId="0" xfId="46" applyNumberFormat="1" applyFont="1" applyFill="1" applyAlignment="1">
      <alignment horizontal="centerContinuous"/>
    </xf>
    <xf numFmtId="43" fontId="27" fillId="0" borderId="0" xfId="75" applyNumberFormat="1" applyFont="1" applyBorder="1">
      <alignment/>
      <protection/>
    </xf>
    <xf numFmtId="43" fontId="7" fillId="0" borderId="0" xfId="75" applyNumberFormat="1" applyFont="1" applyBorder="1" applyAlignment="1">
      <alignment horizontal="left"/>
      <protection/>
    </xf>
    <xf numFmtId="166" fontId="7" fillId="0" borderId="0" xfId="46" applyNumberFormat="1" applyFont="1" applyAlignment="1">
      <alignment horizontal="left"/>
    </xf>
    <xf numFmtId="166" fontId="8" fillId="0" borderId="0" xfId="46" applyNumberFormat="1" applyFont="1" applyAlignment="1">
      <alignment/>
    </xf>
    <xf numFmtId="166" fontId="8" fillId="0" borderId="0" xfId="46" applyNumberFormat="1" applyFont="1" applyFill="1" applyAlignment="1">
      <alignment/>
    </xf>
    <xf numFmtId="166" fontId="8" fillId="0" borderId="0" xfId="46" applyNumberFormat="1" applyFont="1" applyAlignment="1">
      <alignment horizontal="left"/>
    </xf>
    <xf numFmtId="166" fontId="7" fillId="0" borderId="0" xfId="46" applyNumberFormat="1" applyFont="1" applyAlignment="1">
      <alignment horizontal="center"/>
    </xf>
    <xf numFmtId="38" fontId="8" fillId="0" borderId="14" xfId="46" applyNumberFormat="1" applyFont="1" applyFill="1" applyBorder="1" applyAlignment="1">
      <alignment/>
    </xf>
    <xf numFmtId="164" fontId="7" fillId="0" borderId="21" xfId="46" applyNumberFormat="1" applyFont="1" applyBorder="1" applyAlignment="1">
      <alignment horizontal="center"/>
    </xf>
    <xf numFmtId="164" fontId="8" fillId="0" borderId="0" xfId="46" applyNumberFormat="1" applyFont="1" applyFill="1" applyAlignment="1">
      <alignment/>
    </xf>
    <xf numFmtId="164" fontId="8" fillId="0" borderId="0" xfId="46" applyNumberFormat="1" applyFont="1" applyBorder="1" applyAlignment="1">
      <alignment/>
    </xf>
    <xf numFmtId="166" fontId="8" fillId="0" borderId="0" xfId="46" applyNumberFormat="1" applyFont="1" applyAlignment="1">
      <alignment/>
    </xf>
    <xf numFmtId="164" fontId="32" fillId="0" borderId="0" xfId="46" applyNumberFormat="1" applyFont="1" applyFill="1" applyAlignment="1">
      <alignment/>
    </xf>
    <xf numFmtId="38" fontId="8" fillId="0" borderId="0" xfId="46" applyNumberFormat="1" applyFont="1" applyFill="1" applyAlignment="1">
      <alignment/>
    </xf>
    <xf numFmtId="164" fontId="8" fillId="0" borderId="14" xfId="46" applyNumberFormat="1" applyFont="1" applyBorder="1" applyAlignment="1">
      <alignment/>
    </xf>
    <xf numFmtId="43" fontId="32" fillId="0" borderId="0" xfId="75" applyNumberFormat="1" applyFont="1" applyBorder="1">
      <alignment/>
      <protection/>
    </xf>
    <xf numFmtId="6" fontId="7" fillId="0" borderId="21" xfId="46" applyNumberFormat="1" applyFont="1" applyBorder="1" applyAlignment="1">
      <alignment/>
    </xf>
    <xf numFmtId="166" fontId="8" fillId="0" borderId="0" xfId="46" applyNumberFormat="1" applyFont="1" applyBorder="1" applyAlignment="1">
      <alignment/>
    </xf>
    <xf numFmtId="5" fontId="24" fillId="0" borderId="0" xfId="46" applyNumberFormat="1" applyFont="1" applyBorder="1" applyAlignment="1">
      <alignment/>
    </xf>
    <xf numFmtId="166" fontId="24" fillId="0" borderId="0" xfId="46" applyNumberFormat="1" applyFont="1" applyAlignment="1">
      <alignment horizontal="left"/>
    </xf>
    <xf numFmtId="166" fontId="24" fillId="0" borderId="0" xfId="46" applyNumberFormat="1" applyFont="1" applyAlignment="1">
      <alignment/>
    </xf>
    <xf numFmtId="166" fontId="24" fillId="0" borderId="0" xfId="46" applyNumberFormat="1" applyFont="1" applyBorder="1" applyAlignment="1">
      <alignment/>
    </xf>
    <xf numFmtId="43" fontId="24" fillId="0" borderId="0" xfId="75" applyNumberFormat="1" applyFont="1" applyBorder="1">
      <alignment/>
      <protection/>
    </xf>
    <xf numFmtId="166" fontId="6" fillId="0" borderId="0" xfId="46" applyNumberFormat="1" applyFont="1" applyAlignment="1">
      <alignment/>
    </xf>
    <xf numFmtId="0" fontId="25" fillId="0" borderId="0" xfId="75" applyFont="1" applyBorder="1" applyAlignment="1">
      <alignment horizontal="centerContinuous"/>
      <protection/>
    </xf>
    <xf numFmtId="164" fontId="25" fillId="0" borderId="0" xfId="46" applyNumberFormat="1" applyFont="1" applyFill="1" applyAlignment="1">
      <alignment horizontal="centerContinuous"/>
    </xf>
    <xf numFmtId="164" fontId="25" fillId="0" borderId="0" xfId="46" applyNumberFormat="1" applyFont="1" applyBorder="1" applyAlignment="1">
      <alignment horizontal="centerContinuous"/>
    </xf>
    <xf numFmtId="164" fontId="30" fillId="0" borderId="0" xfId="46" applyNumberFormat="1" applyFont="1" applyBorder="1" applyAlignment="1">
      <alignment horizontal="centerContinuous"/>
    </xf>
    <xf numFmtId="164" fontId="30" fillId="0" borderId="0" xfId="46" applyNumberFormat="1" applyFont="1" applyBorder="1" applyAlignment="1">
      <alignment/>
    </xf>
    <xf numFmtId="0" fontId="30" fillId="0" borderId="0" xfId="75" applyFont="1" applyBorder="1">
      <alignment/>
      <protection/>
    </xf>
    <xf numFmtId="0" fontId="17" fillId="0" borderId="0" xfId="75" applyFont="1" applyFill="1" applyBorder="1" applyAlignment="1">
      <alignment horizontal="centerContinuous"/>
      <protection/>
    </xf>
    <xf numFmtId="164" fontId="17" fillId="0" borderId="0" xfId="46" applyNumberFormat="1" applyFont="1" applyFill="1" applyAlignment="1">
      <alignment horizontal="centerContinuous"/>
    </xf>
    <xf numFmtId="164" fontId="8" fillId="0" borderId="0" xfId="46" applyNumberFormat="1" applyFont="1" applyBorder="1" applyAlignment="1">
      <alignment horizontal="centerContinuous"/>
    </xf>
    <xf numFmtId="0" fontId="5" fillId="0" borderId="0" xfId="75" applyFont="1" applyBorder="1" applyAlignment="1">
      <alignment horizontal="centerContinuous"/>
      <protection/>
    </xf>
    <xf numFmtId="164" fontId="5" fillId="0" borderId="0" xfId="46" applyNumberFormat="1" applyFont="1" applyFill="1" applyAlignment="1">
      <alignment horizontal="centerContinuous"/>
    </xf>
    <xf numFmtId="164" fontId="5" fillId="0" borderId="0" xfId="46" applyNumberFormat="1" applyFont="1" applyBorder="1" applyAlignment="1">
      <alignment horizontal="centerContinuous"/>
    </xf>
    <xf numFmtId="164" fontId="6" fillId="0" borderId="0" xfId="46" applyNumberFormat="1" applyFont="1" applyBorder="1" applyAlignment="1">
      <alignment horizontal="centerContinuous"/>
    </xf>
    <xf numFmtId="0" fontId="8" fillId="0" borderId="0" xfId="75" applyFont="1" applyBorder="1" applyAlignment="1">
      <alignment horizontal="centerContinuous"/>
      <protection/>
    </xf>
    <xf numFmtId="164" fontId="15" fillId="33" borderId="0" xfId="46" applyNumberFormat="1" applyFont="1" applyFill="1" applyBorder="1" applyAlignment="1">
      <alignment horizontal="center" wrapText="1"/>
    </xf>
    <xf numFmtId="0" fontId="7" fillId="0" borderId="0" xfId="75" applyFont="1" applyBorder="1" applyAlignment="1">
      <alignment horizontal="center" wrapText="1"/>
      <protection/>
    </xf>
    <xf numFmtId="164" fontId="8" fillId="0" borderId="0" xfId="46" applyNumberFormat="1" applyFont="1" applyFill="1" applyAlignment="1">
      <alignment/>
    </xf>
    <xf numFmtId="164" fontId="8" fillId="0" borderId="0" xfId="46" applyNumberFormat="1" applyFont="1" applyBorder="1" applyAlignment="1">
      <alignment horizontal="left" wrapText="1"/>
    </xf>
    <xf numFmtId="5" fontId="8" fillId="0" borderId="0" xfId="51" applyNumberFormat="1" applyFont="1" applyBorder="1" applyAlignment="1">
      <alignment horizontal="right"/>
    </xf>
    <xf numFmtId="0" fontId="8" fillId="0" borderId="0" xfId="75" applyFont="1" applyBorder="1" applyAlignment="1">
      <alignment horizontal="right"/>
      <protection/>
    </xf>
    <xf numFmtId="38" fontId="8" fillId="0" borderId="0" xfId="75" applyNumberFormat="1" applyFont="1" applyBorder="1" applyAlignment="1">
      <alignment horizontal="right"/>
      <protection/>
    </xf>
    <xf numFmtId="38" fontId="7" fillId="0" borderId="0" xfId="75" applyNumberFormat="1" applyFont="1" applyBorder="1">
      <alignment/>
      <protection/>
    </xf>
    <xf numFmtId="164" fontId="8" fillId="0" borderId="14" xfId="46" applyNumberFormat="1" applyFont="1" applyBorder="1" applyAlignment="1">
      <alignment horizontal="right"/>
    </xf>
    <xf numFmtId="164" fontId="7" fillId="0" borderId="14" xfId="46" applyNumberFormat="1" applyFont="1" applyBorder="1" applyAlignment="1">
      <alignment horizontal="right"/>
    </xf>
    <xf numFmtId="38" fontId="7" fillId="0" borderId="0" xfId="75" applyNumberFormat="1" applyFont="1" applyBorder="1" applyAlignment="1">
      <alignment horizontal="center" wrapText="1"/>
      <protection/>
    </xf>
    <xf numFmtId="164" fontId="36" fillId="0" borderId="0" xfId="46" applyNumberFormat="1" applyFont="1" applyBorder="1" applyAlignment="1">
      <alignment horizontal="right"/>
    </xf>
    <xf numFmtId="164" fontId="29" fillId="0" borderId="0" xfId="46" applyNumberFormat="1" applyFont="1" applyBorder="1" applyAlignment="1">
      <alignment horizontal="right"/>
    </xf>
    <xf numFmtId="38" fontId="32" fillId="0" borderId="0" xfId="75" applyNumberFormat="1" applyFont="1" applyBorder="1">
      <alignment/>
      <protection/>
    </xf>
    <xf numFmtId="164" fontId="32" fillId="0" borderId="0" xfId="46" applyNumberFormat="1" applyFont="1" applyBorder="1" applyAlignment="1">
      <alignment horizontal="right"/>
    </xf>
    <xf numFmtId="38" fontId="32" fillId="0" borderId="0" xfId="75" applyNumberFormat="1" applyFont="1" applyBorder="1" applyAlignment="1">
      <alignment horizontal="right"/>
      <protection/>
    </xf>
    <xf numFmtId="38" fontId="8" fillId="0" borderId="0" xfId="46" applyNumberFormat="1" applyFont="1" applyBorder="1" applyAlignment="1">
      <alignment horizontal="right"/>
    </xf>
    <xf numFmtId="6" fontId="7" fillId="0" borderId="21" xfId="46" applyNumberFormat="1" applyFont="1" applyBorder="1" applyAlignment="1">
      <alignment horizontal="right"/>
    </xf>
    <xf numFmtId="164" fontId="8" fillId="0" borderId="0" xfId="75" applyNumberFormat="1" applyFont="1" applyBorder="1" applyAlignment="1">
      <alignment horizontal="right"/>
      <protection/>
    </xf>
    <xf numFmtId="164" fontId="7" fillId="0" borderId="0" xfId="46" applyNumberFormat="1" applyFont="1" applyFill="1" applyAlignment="1">
      <alignment/>
    </xf>
    <xf numFmtId="164" fontId="7" fillId="0" borderId="0" xfId="46" applyNumberFormat="1" applyFont="1" applyFill="1" applyAlignment="1">
      <alignment horizontal="right"/>
    </xf>
    <xf numFmtId="164" fontId="8" fillId="0" borderId="0" xfId="0" applyNumberFormat="1" applyFont="1" applyBorder="1" applyAlignment="1">
      <alignment/>
    </xf>
    <xf numFmtId="0" fontId="8" fillId="0" borderId="0" xfId="0" applyFont="1" applyBorder="1" applyAlignment="1">
      <alignment/>
    </xf>
    <xf numFmtId="38" fontId="8" fillId="0" borderId="22" xfId="46" applyNumberFormat="1" applyFont="1" applyBorder="1" applyAlignment="1">
      <alignment/>
    </xf>
    <xf numFmtId="0" fontId="8" fillId="0" borderId="0" xfId="0" applyFont="1" applyFill="1" applyBorder="1" applyAlignment="1">
      <alignment/>
    </xf>
    <xf numFmtId="164" fontId="8" fillId="0" borderId="0" xfId="0" applyNumberFormat="1" applyFont="1" applyFill="1" applyBorder="1" applyAlignment="1">
      <alignment/>
    </xf>
    <xf numFmtId="14" fontId="8" fillId="0" borderId="0" xfId="0" applyNumberFormat="1" applyFont="1" applyFill="1" applyBorder="1" applyAlignment="1">
      <alignment/>
    </xf>
    <xf numFmtId="43" fontId="7" fillId="0" borderId="21" xfId="46" applyNumberFormat="1" applyFont="1" applyFill="1" applyBorder="1" applyAlignment="1">
      <alignment/>
    </xf>
    <xf numFmtId="6" fontId="7" fillId="0" borderId="21" xfId="51" applyNumberFormat="1" applyFont="1" applyFill="1" applyBorder="1" applyAlignment="1">
      <alignment horizontal="right"/>
    </xf>
    <xf numFmtId="164" fontId="7" fillId="0" borderId="21" xfId="46" applyNumberFormat="1" applyFont="1" applyFill="1" applyBorder="1" applyAlignment="1">
      <alignment horizontal="right"/>
    </xf>
    <xf numFmtId="7" fontId="3" fillId="0" borderId="0" xfId="75" applyNumberFormat="1" applyFont="1" applyFill="1" applyBorder="1" applyAlignment="1">
      <alignment horizontal="center"/>
      <protection/>
    </xf>
    <xf numFmtId="7" fontId="17" fillId="0" borderId="0" xfId="75" applyNumberFormat="1" applyFont="1" applyFill="1" applyBorder="1" applyAlignment="1">
      <alignment horizontal="center"/>
      <protection/>
    </xf>
    <xf numFmtId="7" fontId="5" fillId="0" borderId="0" xfId="75" applyNumberFormat="1" applyFont="1" applyFill="1" applyBorder="1" applyAlignment="1">
      <alignment horizontal="center"/>
      <protection/>
    </xf>
    <xf numFmtId="7" fontId="5" fillId="0" borderId="0" xfId="75" applyNumberFormat="1" applyFont="1" applyFill="1" applyBorder="1" applyAlignment="1" quotePrefix="1">
      <alignment horizontal="center"/>
      <protection/>
    </xf>
    <xf numFmtId="7" fontId="5" fillId="0" borderId="0" xfId="75" applyNumberFormat="1" applyFont="1" applyBorder="1" applyAlignment="1">
      <alignment horizontal="center"/>
      <protection/>
    </xf>
    <xf numFmtId="7" fontId="5" fillId="0" borderId="0" xfId="75" applyNumberFormat="1" applyFont="1" applyBorder="1" applyAlignment="1" quotePrefix="1">
      <alignment horizontal="center"/>
      <protection/>
    </xf>
    <xf numFmtId="43" fontId="25" fillId="0" borderId="0" xfId="75" applyNumberFormat="1" applyFont="1" applyFill="1" applyBorder="1" applyAlignment="1">
      <alignment horizontal="center"/>
      <protection/>
    </xf>
    <xf numFmtId="43" fontId="17" fillId="0" borderId="0" xfId="75" applyNumberFormat="1" applyFont="1" applyFill="1" applyAlignment="1">
      <alignment horizontal="center"/>
      <protection/>
    </xf>
    <xf numFmtId="43" fontId="5" fillId="0" borderId="0" xfId="75" applyNumberFormat="1" applyFont="1" applyFill="1" applyBorder="1" applyAlignment="1">
      <alignment horizontal="center"/>
      <protection/>
    </xf>
    <xf numFmtId="43" fontId="3" fillId="0" borderId="23" xfId="75" applyNumberFormat="1" applyFont="1" applyBorder="1" applyAlignment="1">
      <alignment horizontal="center"/>
      <protection/>
    </xf>
    <xf numFmtId="43" fontId="3" fillId="0" borderId="24" xfId="75" applyNumberFormat="1" applyFont="1" applyBorder="1" applyAlignment="1">
      <alignment horizontal="center"/>
      <protection/>
    </xf>
    <xf numFmtId="43" fontId="3" fillId="0" borderId="15" xfId="75" applyNumberFormat="1" applyFont="1" applyBorder="1" applyAlignment="1">
      <alignment horizontal="center"/>
      <protection/>
    </xf>
    <xf numFmtId="43" fontId="17" fillId="0" borderId="22" xfId="75" applyNumberFormat="1" applyFont="1" applyFill="1" applyBorder="1" applyAlignment="1">
      <alignment horizontal="center"/>
      <protection/>
    </xf>
    <xf numFmtId="43" fontId="17" fillId="0" borderId="0" xfId="75" applyNumberFormat="1" applyFont="1" applyFill="1" applyBorder="1" applyAlignment="1">
      <alignment horizontal="center"/>
      <protection/>
    </xf>
    <xf numFmtId="43" fontId="17" fillId="0" borderId="16" xfId="75" applyNumberFormat="1" applyFont="1" applyFill="1" applyBorder="1" applyAlignment="1">
      <alignment horizontal="center"/>
      <protection/>
    </xf>
    <xf numFmtId="43" fontId="5" fillId="0" borderId="22" xfId="75" applyNumberFormat="1" applyFont="1" applyBorder="1" applyAlignment="1">
      <alignment horizontal="center"/>
      <protection/>
    </xf>
    <xf numFmtId="43" fontId="5" fillId="0" borderId="0" xfId="75" applyNumberFormat="1" applyFont="1" applyBorder="1" applyAlignment="1">
      <alignment horizontal="center"/>
      <protection/>
    </xf>
    <xf numFmtId="43" fontId="5" fillId="0" borderId="16" xfId="75" applyNumberFormat="1" applyFont="1" applyBorder="1" applyAlignment="1">
      <alignment horizontal="center"/>
      <protection/>
    </xf>
    <xf numFmtId="0" fontId="24" fillId="0" borderId="0" xfId="75" applyNumberFormat="1" applyFont="1" applyAlignment="1">
      <alignment horizontal="left" vertical="center" wrapText="1"/>
      <protection/>
    </xf>
    <xf numFmtId="0" fontId="24" fillId="0" borderId="0" xfId="75" applyNumberFormat="1" applyFont="1" applyAlignment="1">
      <alignment horizontal="center" vertical="center" wrapText="1"/>
      <protection/>
    </xf>
    <xf numFmtId="0" fontId="24" fillId="0" borderId="0" xfId="75" applyFont="1" applyAlignment="1">
      <alignment horizontal="left" vertical="center" wrapText="1"/>
      <protection/>
    </xf>
    <xf numFmtId="0" fontId="33" fillId="0" borderId="0" xfId="75" applyFont="1" applyAlignment="1">
      <alignment horizontal="center" vertical="center" wrapText="1"/>
      <protection/>
    </xf>
    <xf numFmtId="166" fontId="25" fillId="0" borderId="0" xfId="46" applyNumberFormat="1" applyFont="1" applyAlignment="1">
      <alignment horizontal="center"/>
    </xf>
    <xf numFmtId="166" fontId="5" fillId="0" borderId="0" xfId="46" applyNumberFormat="1" applyFont="1" applyAlignment="1">
      <alignment horizontal="center"/>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2" xfId="46"/>
    <cellStyle name="Comma 2 2" xfId="47"/>
    <cellStyle name="Currency" xfId="48"/>
    <cellStyle name="Currency [0]" xfId="49"/>
    <cellStyle name="Currency [0] 2" xfId="50"/>
    <cellStyle name="Currency 2"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2 2" xfId="62"/>
    <cellStyle name="Normal 3" xfId="63"/>
    <cellStyle name="Normal 3 2" xfId="64"/>
    <cellStyle name="Normal 3 3" xfId="65"/>
    <cellStyle name="Normal 3 3 2" xfId="66"/>
    <cellStyle name="Normal 4" xfId="67"/>
    <cellStyle name="Normal 4 2" xfId="68"/>
    <cellStyle name="Normal 4 3" xfId="69"/>
    <cellStyle name="Normal 5" xfId="70"/>
    <cellStyle name="Normal 5 2" xfId="71"/>
    <cellStyle name="Normal 6" xfId="72"/>
    <cellStyle name="Normal 7" xfId="73"/>
    <cellStyle name="Normal 8" xfId="74"/>
    <cellStyle name="Normal 9" xfId="75"/>
    <cellStyle name="Note" xfId="76"/>
    <cellStyle name="Output" xfId="77"/>
    <cellStyle name="Percent" xfId="78"/>
    <cellStyle name="STYLE1" xfId="79"/>
    <cellStyle name="STYLE2" xfId="80"/>
    <cellStyle name="STYLE3" xfId="81"/>
    <cellStyle name="STYLE4" xfId="82"/>
    <cellStyle name="STYLE5" xfId="83"/>
    <cellStyle name="STYLE6" xfId="84"/>
    <cellStyle name="STYLE7" xfId="85"/>
    <cellStyle name="Title" xfId="86"/>
    <cellStyle name="Total"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6</xdr:row>
      <xdr:rowOff>28575</xdr:rowOff>
    </xdr:from>
    <xdr:ext cx="190500" cy="933450"/>
    <xdr:sp>
      <xdr:nvSpPr>
        <xdr:cNvPr id="1" name="Rectangle 1"/>
        <xdr:cNvSpPr>
          <a:spLocks/>
        </xdr:cNvSpPr>
      </xdr:nvSpPr>
      <xdr:spPr>
        <a:xfrm>
          <a:off x="467677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123825</xdr:colOff>
      <xdr:row>6</xdr:row>
      <xdr:rowOff>28575</xdr:rowOff>
    </xdr:from>
    <xdr:ext cx="190500" cy="933450"/>
    <xdr:sp>
      <xdr:nvSpPr>
        <xdr:cNvPr id="2" name="Rectangle 2"/>
        <xdr:cNvSpPr>
          <a:spLocks/>
        </xdr:cNvSpPr>
      </xdr:nvSpPr>
      <xdr:spPr>
        <a:xfrm>
          <a:off x="467677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123825</xdr:colOff>
      <xdr:row>6</xdr:row>
      <xdr:rowOff>28575</xdr:rowOff>
    </xdr:from>
    <xdr:ext cx="190500" cy="933450"/>
    <xdr:sp>
      <xdr:nvSpPr>
        <xdr:cNvPr id="3" name="Rectangle 3"/>
        <xdr:cNvSpPr>
          <a:spLocks/>
        </xdr:cNvSpPr>
      </xdr:nvSpPr>
      <xdr:spPr>
        <a:xfrm>
          <a:off x="467677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123825</xdr:colOff>
      <xdr:row>6</xdr:row>
      <xdr:rowOff>28575</xdr:rowOff>
    </xdr:from>
    <xdr:ext cx="190500" cy="933450"/>
    <xdr:sp>
      <xdr:nvSpPr>
        <xdr:cNvPr id="4" name="Rectangle 4"/>
        <xdr:cNvSpPr>
          <a:spLocks/>
        </xdr:cNvSpPr>
      </xdr:nvSpPr>
      <xdr:spPr>
        <a:xfrm>
          <a:off x="4676775"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Q12%20Flux%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Q12a%20Flux%20Analy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Page 1"/>
      <sheetName val="Page 2"/>
      <sheetName val="Page 3"/>
      <sheetName val="Page 4"/>
      <sheetName val="Page 5"/>
      <sheetName val="Page 6"/>
      <sheetName val="4Q12 Trial Balance"/>
      <sheetName val="(6)Losses Incurred YTD-p1"/>
      <sheetName val="(6)Losses Incurred YTD10"/>
      <sheetName val="(4)Loss Expenses YTD12"/>
      <sheetName val="IBNR JE2"/>
      <sheetName val="(1)ULEP-YTD17"/>
      <sheetName val="Business Summary"/>
    </sheetNames>
    <sheetDataSet>
      <sheetData sheetId="12">
        <row r="24">
          <cell r="F24">
            <v>6172160.23</v>
          </cell>
        </row>
        <row r="28">
          <cell r="F28">
            <v>567125.73</v>
          </cell>
        </row>
        <row r="32">
          <cell r="F32">
            <v>520604.45</v>
          </cell>
        </row>
        <row r="36">
          <cell r="F36">
            <v>11914.7</v>
          </cell>
        </row>
        <row r="44">
          <cell r="F44">
            <v>156655.52</v>
          </cell>
        </row>
        <row r="52">
          <cell r="F52">
            <v>15253.130000000001</v>
          </cell>
        </row>
        <row r="68">
          <cell r="E68">
            <v>-4155835.06</v>
          </cell>
        </row>
        <row r="69">
          <cell r="E69">
            <v>-1382422.14</v>
          </cell>
        </row>
        <row r="70">
          <cell r="E70">
            <v>-15856.23</v>
          </cell>
        </row>
        <row r="72">
          <cell r="F72">
            <v>-5554113.430000001</v>
          </cell>
        </row>
        <row r="83">
          <cell r="F83">
            <v>-8718884.31</v>
          </cell>
        </row>
        <row r="91">
          <cell r="F91">
            <v>-530182</v>
          </cell>
        </row>
        <row r="104">
          <cell r="F104">
            <v>-271308</v>
          </cell>
        </row>
        <row r="115">
          <cell r="F115">
            <v>-108293.60999999999</v>
          </cell>
        </row>
        <row r="121">
          <cell r="F121">
            <v>-39370.68</v>
          </cell>
        </row>
        <row r="125">
          <cell r="F125">
            <v>-123709.23</v>
          </cell>
        </row>
        <row r="128">
          <cell r="F128">
            <v>-10352.15</v>
          </cell>
        </row>
        <row r="136">
          <cell r="F136">
            <v>-150194.15999999997</v>
          </cell>
        </row>
        <row r="165">
          <cell r="F165">
            <v>-322133.30000000005</v>
          </cell>
        </row>
        <row r="168">
          <cell r="F168">
            <v>-4859365</v>
          </cell>
        </row>
        <row r="171">
          <cell r="F171">
            <v>-962532</v>
          </cell>
        </row>
        <row r="174">
          <cell r="F174">
            <v>-203382.7</v>
          </cell>
        </row>
        <row r="179">
          <cell r="F179">
            <v>-100966.09999999999</v>
          </cell>
        </row>
        <row r="185">
          <cell r="C185">
            <v>9531.95</v>
          </cell>
        </row>
        <row r="187">
          <cell r="C187">
            <v>285918</v>
          </cell>
        </row>
        <row r="189">
          <cell r="C189">
            <v>-56357.84</v>
          </cell>
        </row>
        <row r="198">
          <cell r="C198">
            <v>0</v>
          </cell>
          <cell r="E198">
            <v>628</v>
          </cell>
        </row>
        <row r="199">
          <cell r="C199">
            <v>0</v>
          </cell>
          <cell r="E199">
            <v>217</v>
          </cell>
        </row>
        <row r="201">
          <cell r="C201">
            <v>1775</v>
          </cell>
          <cell r="E201">
            <v>87176</v>
          </cell>
        </row>
        <row r="202">
          <cell r="C202">
            <v>596</v>
          </cell>
          <cell r="E202">
            <v>24628</v>
          </cell>
        </row>
        <row r="203">
          <cell r="C203">
            <v>0</v>
          </cell>
          <cell r="E203">
            <v>1234</v>
          </cell>
        </row>
        <row r="205">
          <cell r="C205">
            <v>-2020312</v>
          </cell>
          <cell r="E205">
            <v>-8387272</v>
          </cell>
        </row>
        <row r="206">
          <cell r="C206">
            <v>-659278</v>
          </cell>
          <cell r="E206">
            <v>-2722297</v>
          </cell>
        </row>
        <row r="207">
          <cell r="C207">
            <v>-7645</v>
          </cell>
          <cell r="E207">
            <v>-31239</v>
          </cell>
        </row>
        <row r="249">
          <cell r="D249">
            <v>-25024.350000000002</v>
          </cell>
          <cell r="F249">
            <v>-67310.81999999999</v>
          </cell>
        </row>
        <row r="255">
          <cell r="D255">
            <v>-2179.65</v>
          </cell>
          <cell r="F255">
            <v>-11064.85</v>
          </cell>
        </row>
        <row r="259">
          <cell r="C259">
            <v>-154.02</v>
          </cell>
          <cell r="E259">
            <v>-815.82</v>
          </cell>
        </row>
        <row r="260">
          <cell r="C260">
            <v>-5319.35</v>
          </cell>
          <cell r="E260">
            <v>-21560.96</v>
          </cell>
        </row>
        <row r="261">
          <cell r="D261">
            <v>-5473.370000000001</v>
          </cell>
          <cell r="F261">
            <v>-22376.78</v>
          </cell>
        </row>
        <row r="275">
          <cell r="C275">
            <v>-1089.03</v>
          </cell>
          <cell r="E275">
            <v>-60239.58</v>
          </cell>
        </row>
        <row r="276">
          <cell r="E276">
            <v>-28032.53</v>
          </cell>
        </row>
        <row r="278">
          <cell r="C278">
            <v>-350</v>
          </cell>
          <cell r="E278">
            <v>-22537.46</v>
          </cell>
        </row>
        <row r="280">
          <cell r="D280">
            <v>-1439.03</v>
          </cell>
          <cell r="F280">
            <v>-110809.57</v>
          </cell>
        </row>
        <row r="362">
          <cell r="F362">
            <v>-84.5</v>
          </cell>
        </row>
        <row r="366">
          <cell r="D366">
            <v>-215.9</v>
          </cell>
          <cell r="F366">
            <v>-9487.5</v>
          </cell>
        </row>
        <row r="370">
          <cell r="D370">
            <v>232929.75</v>
          </cell>
          <cell r="F370">
            <v>962408.6499999999</v>
          </cell>
        </row>
        <row r="372">
          <cell r="D372">
            <v>232713.85000000003</v>
          </cell>
          <cell r="F372">
            <v>952836.6499999999</v>
          </cell>
        </row>
        <row r="375">
          <cell r="D375">
            <v>6718.53</v>
          </cell>
          <cell r="F375">
            <v>35807.21</v>
          </cell>
        </row>
        <row r="377">
          <cell r="D377">
            <v>4125</v>
          </cell>
          <cell r="F377">
            <v>16500</v>
          </cell>
        </row>
        <row r="381">
          <cell r="D381">
            <v>20394.28</v>
          </cell>
          <cell r="F381">
            <v>87290.26999999999</v>
          </cell>
        </row>
        <row r="383">
          <cell r="D383">
            <v>31237.809999999998</v>
          </cell>
          <cell r="F383">
            <v>139597.47999999998</v>
          </cell>
        </row>
        <row r="633">
          <cell r="D633">
            <v>1115767.2899999993</v>
          </cell>
          <cell r="F633">
            <v>3683489.61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paid Loss Reserves-13"/>
      <sheetName val="Unpaid Loss Expense Reserves-14"/>
      <sheetName val="Loss Expenses Paid QTD-15"/>
      <sheetName val="Loss Expenses Paid YTD-16"/>
      <sheetName val="Page 1"/>
      <sheetName val="Page 2"/>
      <sheetName val="Page 3"/>
      <sheetName val="Page 4"/>
      <sheetName val="Page 5"/>
      <sheetName val="Page 6"/>
    </sheetNames>
    <sheetDataSet>
      <sheetData sheetId="0">
        <row r="9">
          <cell r="B9">
            <v>1451409.47</v>
          </cell>
          <cell r="C9">
            <v>337926.74</v>
          </cell>
          <cell r="D9">
            <v>52262.79</v>
          </cell>
        </row>
        <row r="10">
          <cell r="B10">
            <v>5805124.98</v>
          </cell>
          <cell r="C10">
            <v>1072160.33</v>
          </cell>
          <cell r="D10">
            <v>0</v>
          </cell>
        </row>
        <row r="11">
          <cell r="B11">
            <v>0</v>
          </cell>
          <cell r="C11">
            <v>0</v>
          </cell>
          <cell r="D11">
            <v>0</v>
          </cell>
        </row>
        <row r="16">
          <cell r="B16">
            <v>87634</v>
          </cell>
          <cell r="C16">
            <v>22058.06</v>
          </cell>
          <cell r="D16">
            <v>0</v>
          </cell>
        </row>
        <row r="17">
          <cell r="B17">
            <v>350505</v>
          </cell>
          <cell r="C17">
            <v>69984.94</v>
          </cell>
          <cell r="D17">
            <v>0</v>
          </cell>
        </row>
        <row r="18">
          <cell r="B18">
            <v>0</v>
          </cell>
          <cell r="C18">
            <v>0</v>
          </cell>
          <cell r="D18">
            <v>0</v>
          </cell>
        </row>
      </sheetData>
      <sheetData sheetId="1">
        <row r="22">
          <cell r="B22">
            <v>41018.259999999995</v>
          </cell>
          <cell r="C22">
            <v>34244.11</v>
          </cell>
          <cell r="D22">
            <v>31637.39</v>
          </cell>
        </row>
        <row r="23">
          <cell r="B23">
            <v>164053.54</v>
          </cell>
          <cell r="C23">
            <v>108649.31</v>
          </cell>
          <cell r="D23">
            <v>0</v>
          </cell>
        </row>
        <row r="24">
          <cell r="B24">
            <v>0</v>
          </cell>
          <cell r="C24">
            <v>0</v>
          </cell>
          <cell r="D24">
            <v>0</v>
          </cell>
        </row>
      </sheetData>
      <sheetData sheetId="2">
        <row r="9">
          <cell r="K9">
            <v>813.85</v>
          </cell>
        </row>
        <row r="10">
          <cell r="E10">
            <v>1910.91</v>
          </cell>
          <cell r="K10">
            <v>776.13</v>
          </cell>
        </row>
        <row r="11">
          <cell r="E11">
            <v>0</v>
          </cell>
          <cell r="K11">
            <v>0</v>
          </cell>
        </row>
        <row r="12">
          <cell r="C12">
            <v>1470.6</v>
          </cell>
          <cell r="I12">
            <v>119.38</v>
          </cell>
        </row>
        <row r="15">
          <cell r="E15">
            <v>381347.15</v>
          </cell>
          <cell r="K15">
            <v>54217.16</v>
          </cell>
        </row>
        <row r="16">
          <cell r="E16">
            <v>313206.37</v>
          </cell>
          <cell r="K16">
            <v>96255.89</v>
          </cell>
        </row>
        <row r="17">
          <cell r="E17">
            <v>0</v>
          </cell>
          <cell r="K17">
            <v>0</v>
          </cell>
        </row>
        <row r="18">
          <cell r="C18">
            <v>107081.52</v>
          </cell>
          <cell r="I18">
            <v>43390.53</v>
          </cell>
        </row>
        <row r="21">
          <cell r="E21">
            <v>611336.93</v>
          </cell>
          <cell r="K21">
            <v>69737.94</v>
          </cell>
        </row>
        <row r="22">
          <cell r="E22">
            <v>1672487.63</v>
          </cell>
          <cell r="K22">
            <v>401546.30000000005</v>
          </cell>
        </row>
        <row r="23">
          <cell r="E23">
            <v>0</v>
          </cell>
          <cell r="K23">
            <v>0</v>
          </cell>
        </row>
        <row r="24">
          <cell r="C24">
            <v>328603.61</v>
          </cell>
          <cell r="I24">
            <v>142679.63</v>
          </cell>
        </row>
        <row r="30">
          <cell r="C30">
            <v>437156.73000000004</v>
          </cell>
          <cell r="E30">
            <v>2980288.99</v>
          </cell>
          <cell r="I30">
            <v>186189.54</v>
          </cell>
        </row>
      </sheetData>
      <sheetData sheetId="3">
        <row r="9">
          <cell r="E9">
            <v>389172.19</v>
          </cell>
          <cell r="K9">
            <v>76114.3</v>
          </cell>
        </row>
        <row r="10">
          <cell r="E10">
            <v>118491.38</v>
          </cell>
          <cell r="K10">
            <v>50743.189999999995</v>
          </cell>
        </row>
        <row r="11">
          <cell r="E11">
            <v>0</v>
          </cell>
          <cell r="K11">
            <v>0</v>
          </cell>
        </row>
        <row r="12">
          <cell r="C12">
            <v>87937.07</v>
          </cell>
          <cell r="I12">
            <v>38920.42</v>
          </cell>
        </row>
        <row r="15">
          <cell r="E15">
            <v>3291276.59</v>
          </cell>
          <cell r="K15">
            <v>459899.55</v>
          </cell>
        </row>
        <row r="16">
          <cell r="E16">
            <v>934030.65</v>
          </cell>
          <cell r="K16">
            <v>319083.07999999996</v>
          </cell>
        </row>
        <row r="17">
          <cell r="E17">
            <v>1597.1</v>
          </cell>
          <cell r="K17">
            <v>129.89</v>
          </cell>
        </row>
        <row r="18">
          <cell r="C18">
            <v>472132.85</v>
          </cell>
          <cell r="I18">
            <v>306979.67000000004</v>
          </cell>
        </row>
        <row r="21">
          <cell r="E21">
            <v>1703217.69</v>
          </cell>
          <cell r="K21">
            <v>186608.65000000002</v>
          </cell>
        </row>
        <row r="22">
          <cell r="E22">
            <v>1839807.75</v>
          </cell>
          <cell r="K22">
            <v>447343</v>
          </cell>
        </row>
        <row r="23">
          <cell r="E23">
            <v>0</v>
          </cell>
          <cell r="K23">
            <v>0</v>
          </cell>
        </row>
        <row r="24">
          <cell r="C24">
            <v>402012.31</v>
          </cell>
          <cell r="I24">
            <v>231940.34000000003</v>
          </cell>
        </row>
        <row r="30">
          <cell r="C30">
            <v>962082.23</v>
          </cell>
          <cell r="E30">
            <v>8277594.35</v>
          </cell>
          <cell r="I30">
            <v>577840.43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9"/>
  <sheetViews>
    <sheetView tabSelected="1" zoomScalePageLayoutView="0" workbookViewId="0" topLeftCell="A1">
      <selection activeCell="A1" sqref="A1:E1"/>
    </sheetView>
  </sheetViews>
  <sheetFormatPr defaultColWidth="15.7109375" defaultRowHeight="15" customHeight="1"/>
  <cols>
    <col min="1" max="1" width="52.57421875" style="7" customWidth="1"/>
    <col min="2" max="3" width="15.7109375" style="41" customWidth="1"/>
    <col min="4" max="4" width="17.28125" style="41" customWidth="1"/>
    <col min="5" max="5" width="20.57421875" style="41" bestFit="1" customWidth="1"/>
    <col min="6" max="16384" width="15.7109375" style="7" customWidth="1"/>
  </cols>
  <sheetData>
    <row r="1" spans="1:5" s="1" customFormat="1" ht="30" customHeight="1">
      <c r="A1" s="314" t="s">
        <v>0</v>
      </c>
      <c r="B1" s="314"/>
      <c r="C1" s="314"/>
      <c r="D1" s="314"/>
      <c r="E1" s="314"/>
    </row>
    <row r="2" spans="1:5" s="1" customFormat="1" ht="15" customHeight="1">
      <c r="A2" s="315"/>
      <c r="B2" s="315"/>
      <c r="C2" s="315"/>
      <c r="D2" s="315"/>
      <c r="E2" s="315"/>
    </row>
    <row r="3" spans="1:5" s="2" customFormat="1" ht="15" customHeight="1">
      <c r="A3" s="316" t="s">
        <v>10</v>
      </c>
      <c r="B3" s="316"/>
      <c r="C3" s="316"/>
      <c r="D3" s="316"/>
      <c r="E3" s="316"/>
    </row>
    <row r="4" spans="1:5" s="2" customFormat="1" ht="15" customHeight="1">
      <c r="A4" s="317" t="s">
        <v>186</v>
      </c>
      <c r="B4" s="317"/>
      <c r="C4" s="317"/>
      <c r="D4" s="317"/>
      <c r="E4" s="317"/>
    </row>
    <row r="5" spans="1:5" s="2" customFormat="1" ht="15" customHeight="1">
      <c r="A5" s="3"/>
      <c r="B5" s="4"/>
      <c r="C5" s="4"/>
      <c r="D5" s="4"/>
      <c r="E5" s="4"/>
    </row>
    <row r="6" spans="1:5" ht="45" customHeight="1">
      <c r="A6" s="5"/>
      <c r="B6" s="6" t="s">
        <v>11</v>
      </c>
      <c r="C6" s="6" t="s">
        <v>12</v>
      </c>
      <c r="D6" s="6" t="s">
        <v>13</v>
      </c>
      <c r="E6" s="6" t="s">
        <v>14</v>
      </c>
    </row>
    <row r="7" spans="1:5" ht="15" customHeight="1">
      <c r="A7" s="8" t="s">
        <v>15</v>
      </c>
      <c r="B7" s="9"/>
      <c r="C7" s="9"/>
      <c r="D7" s="9"/>
      <c r="E7" s="9"/>
    </row>
    <row r="8" spans="1:5" ht="15" customHeight="1">
      <c r="A8" s="10" t="s">
        <v>16</v>
      </c>
      <c r="B8" s="11">
        <f>'[1]4Q12 Trial Balance'!F28</f>
        <v>567125.73</v>
      </c>
      <c r="C8" s="12">
        <v>0</v>
      </c>
      <c r="D8" s="12">
        <v>0</v>
      </c>
      <c r="E8" s="11">
        <f>SUM(B8:D8)</f>
        <v>567125.73</v>
      </c>
    </row>
    <row r="9" spans="1:5" ht="15" customHeight="1">
      <c r="A9" s="10" t="s">
        <v>17</v>
      </c>
      <c r="B9" s="13">
        <f>'[1]4Q12 Trial Balance'!F32</f>
        <v>520604.45</v>
      </c>
      <c r="C9" s="14">
        <v>0</v>
      </c>
      <c r="D9" s="12">
        <v>0</v>
      </c>
      <c r="E9" s="13">
        <f>SUM(B9:D9)</f>
        <v>520604.45</v>
      </c>
    </row>
    <row r="10" spans="1:5" ht="15" customHeight="1">
      <c r="A10" s="10" t="s">
        <v>18</v>
      </c>
      <c r="B10" s="13">
        <f>'[1]4Q12 Trial Balance'!F24-1</f>
        <v>6172159.23</v>
      </c>
      <c r="C10" s="12">
        <v>0</v>
      </c>
      <c r="D10" s="12">
        <v>0</v>
      </c>
      <c r="E10" s="13">
        <f>SUM(B10:D10)</f>
        <v>6172159.23</v>
      </c>
    </row>
    <row r="11" spans="1:5" ht="15" customHeight="1">
      <c r="A11" s="10" t="s">
        <v>19</v>
      </c>
      <c r="B11" s="13">
        <f>499092.17+469594.79+97524+13456-29849</f>
        <v>1049817.96</v>
      </c>
      <c r="C11" s="12">
        <v>0</v>
      </c>
      <c r="D11" s="13">
        <f>B11</f>
        <v>1049817.96</v>
      </c>
      <c r="E11" s="14">
        <v>0</v>
      </c>
    </row>
    <row r="12" spans="1:5" ht="15" customHeight="1">
      <c r="A12" s="10" t="s">
        <v>20</v>
      </c>
      <c r="B12" s="14">
        <v>0</v>
      </c>
      <c r="C12" s="13">
        <f>'[1]4Q12 Trial Balance'!F36</f>
        <v>11914.7</v>
      </c>
      <c r="D12" s="14">
        <v>0</v>
      </c>
      <c r="E12" s="13">
        <f>SUM(B12:D12)</f>
        <v>11914.7</v>
      </c>
    </row>
    <row r="13" spans="1:6" ht="15" customHeight="1">
      <c r="A13" s="10" t="s">
        <v>21</v>
      </c>
      <c r="B13" s="13">
        <f>67326.06-60950.74</f>
        <v>6375.32</v>
      </c>
      <c r="C13" s="14">
        <v>0</v>
      </c>
      <c r="D13" s="13">
        <f>B13</f>
        <v>6375.32</v>
      </c>
      <c r="E13" s="14">
        <f>+B13-D13</f>
        <v>0</v>
      </c>
      <c r="F13" s="16"/>
    </row>
    <row r="14" spans="1:7" ht="15" customHeight="1">
      <c r="A14" s="10" t="s">
        <v>22</v>
      </c>
      <c r="B14" s="13">
        <f>451957.99-158625.02+'[1]4Q12 Trial Balance'!F52</f>
        <v>308586.1</v>
      </c>
      <c r="C14" s="14">
        <v>0</v>
      </c>
      <c r="D14" s="13">
        <f>451957.99-158625.02</f>
        <v>293332.97</v>
      </c>
      <c r="E14" s="13">
        <f>B14-D14</f>
        <v>15253.130000000005</v>
      </c>
      <c r="F14" s="15"/>
      <c r="G14" s="16"/>
    </row>
    <row r="15" spans="1:6" ht="15" customHeight="1">
      <c r="A15" s="10" t="s">
        <v>23</v>
      </c>
      <c r="B15" s="13">
        <f>'[1]4Q12 Trial Balance'!F44+44.25+222.7+1</f>
        <v>156923.47</v>
      </c>
      <c r="C15" s="14">
        <v>0</v>
      </c>
      <c r="D15" s="13">
        <f>44.25+222.7</f>
        <v>266.95</v>
      </c>
      <c r="E15" s="13">
        <f>+B15-C15-D15-1</f>
        <v>156655.52</v>
      </c>
      <c r="F15" s="16"/>
    </row>
    <row r="16" spans="1:5" ht="15" customHeight="1">
      <c r="A16" s="17" t="s">
        <v>24</v>
      </c>
      <c r="B16" s="18">
        <f>SUM(B8:B15)-1</f>
        <v>8781591.260000002</v>
      </c>
      <c r="C16" s="18">
        <f>SUM(C8:C15)</f>
        <v>11914.7</v>
      </c>
      <c r="D16" s="18">
        <f>SUM(D8:D15)</f>
        <v>1349793.2</v>
      </c>
      <c r="E16" s="18">
        <f>SUM(E8:E15)</f>
        <v>7443712.76</v>
      </c>
    </row>
    <row r="17" spans="1:5" ht="15" customHeight="1">
      <c r="A17" s="19"/>
      <c r="B17" s="20"/>
      <c r="C17" s="20"/>
      <c r="D17" s="20"/>
      <c r="E17" s="21"/>
    </row>
    <row r="18" spans="1:5" ht="15" customHeight="1">
      <c r="A18" s="22" t="s">
        <v>25</v>
      </c>
      <c r="B18" s="20"/>
      <c r="C18" s="20"/>
      <c r="D18" s="20"/>
      <c r="E18" s="20"/>
    </row>
    <row r="19" spans="1:5" ht="15" customHeight="1">
      <c r="A19" s="10" t="s">
        <v>26</v>
      </c>
      <c r="B19" s="20"/>
      <c r="C19" s="23"/>
      <c r="D19" s="24">
        <f>-'[1]4Q12 Trial Balance'!F168</f>
        <v>4859365</v>
      </c>
      <c r="E19" s="20"/>
    </row>
    <row r="20" spans="1:5" ht="15" customHeight="1">
      <c r="A20" s="10" t="s">
        <v>27</v>
      </c>
      <c r="B20" s="20"/>
      <c r="C20" s="23"/>
      <c r="D20" s="24">
        <f>-'[1]4Q12 Trial Balance'!F171</f>
        <v>962532</v>
      </c>
      <c r="E20" s="20"/>
    </row>
    <row r="21" spans="1:5" ht="15" customHeight="1">
      <c r="A21" s="10" t="s">
        <v>28</v>
      </c>
      <c r="B21" s="20"/>
      <c r="C21" s="23"/>
      <c r="D21" s="24">
        <f>-'[1]4Q12 Trial Balance'!F165</f>
        <v>322133.30000000005</v>
      </c>
      <c r="E21" s="20"/>
    </row>
    <row r="22" spans="1:5" ht="15" customHeight="1">
      <c r="A22" s="10" t="s">
        <v>29</v>
      </c>
      <c r="B22" s="20"/>
      <c r="C22" s="23"/>
      <c r="D22" s="24">
        <f>-'[1]4Q12 Trial Balance'!F174</f>
        <v>203382.7</v>
      </c>
      <c r="E22" s="20"/>
    </row>
    <row r="23" spans="1:5" ht="15" customHeight="1">
      <c r="A23" s="10" t="s">
        <v>30</v>
      </c>
      <c r="B23" s="20"/>
      <c r="C23" s="25"/>
      <c r="D23" s="24">
        <f>-'[1]4Q12 Trial Balance'!F179</f>
        <v>100966.09999999999</v>
      </c>
      <c r="E23" s="24"/>
    </row>
    <row r="24" spans="1:5" ht="15" customHeight="1">
      <c r="A24" s="10" t="s">
        <v>31</v>
      </c>
      <c r="B24" s="20"/>
      <c r="C24" s="25"/>
      <c r="D24" s="24">
        <f>-'[1]4Q12 Trial Balance'!F128</f>
        <v>10352.15</v>
      </c>
      <c r="E24" s="24"/>
    </row>
    <row r="25" spans="1:5" ht="15" customHeight="1">
      <c r="A25" s="10" t="s">
        <v>32</v>
      </c>
      <c r="B25" s="20"/>
      <c r="C25" s="23"/>
      <c r="D25" s="26">
        <f>-'[1]4Q12 Trial Balance'!F125</f>
        <v>123709.23</v>
      </c>
      <c r="E25" s="23"/>
    </row>
    <row r="26" spans="1:5" ht="15" customHeight="1">
      <c r="A26" s="10"/>
      <c r="B26" s="27"/>
      <c r="C26" s="20"/>
      <c r="D26" s="20"/>
      <c r="E26" s="24"/>
    </row>
    <row r="27" spans="1:5" ht="15" customHeight="1">
      <c r="A27" s="17" t="s">
        <v>33</v>
      </c>
      <c r="B27" s="20"/>
      <c r="C27" s="20"/>
      <c r="D27" s="20"/>
      <c r="E27" s="28">
        <f>SUM(D19:D26)</f>
        <v>6582440.48</v>
      </c>
    </row>
    <row r="28" spans="1:5" ht="15" customHeight="1">
      <c r="A28" s="19"/>
      <c r="B28" s="20"/>
      <c r="C28" s="20"/>
      <c r="D28" s="20"/>
      <c r="E28" s="20"/>
    </row>
    <row r="29" spans="1:5" ht="15" customHeight="1">
      <c r="A29" s="22" t="s">
        <v>34</v>
      </c>
      <c r="B29" s="20"/>
      <c r="C29" s="20"/>
      <c r="D29" s="20"/>
      <c r="E29" s="20"/>
    </row>
    <row r="30" spans="1:5" ht="15" customHeight="1">
      <c r="A30" s="10" t="s">
        <v>35</v>
      </c>
      <c r="B30" s="20"/>
      <c r="C30" s="23"/>
      <c r="D30" s="24">
        <f>-'[1]4Q12 Trial Balance'!F72</f>
        <v>5554113.430000001</v>
      </c>
      <c r="E30" s="20"/>
    </row>
    <row r="31" spans="1:7" ht="15" customHeight="1">
      <c r="A31" s="10" t="s">
        <v>36</v>
      </c>
      <c r="B31" s="20"/>
      <c r="C31" s="23"/>
      <c r="D31" s="24">
        <f>-'[1]4Q12 Trial Balance'!F83</f>
        <v>8718884.31</v>
      </c>
      <c r="E31" s="24"/>
      <c r="F31" s="29"/>
      <c r="G31" s="30"/>
    </row>
    <row r="32" spans="1:7" ht="15" customHeight="1">
      <c r="A32" s="10" t="s">
        <v>37</v>
      </c>
      <c r="B32" s="20"/>
      <c r="C32" s="23"/>
      <c r="D32" s="24">
        <f>-'[1]4Q12 Trial Balance'!F91</f>
        <v>530182</v>
      </c>
      <c r="E32" s="24"/>
      <c r="F32" s="29"/>
      <c r="G32" s="30"/>
    </row>
    <row r="33" spans="1:7" ht="15" customHeight="1">
      <c r="A33" s="10" t="s">
        <v>38</v>
      </c>
      <c r="B33" s="20"/>
      <c r="C33" s="23"/>
      <c r="D33" s="24">
        <f>-'[1]4Q12 Trial Balance'!F104</f>
        <v>271308</v>
      </c>
      <c r="E33" s="24"/>
      <c r="F33" s="29"/>
      <c r="G33" s="30"/>
    </row>
    <row r="34" spans="1:8" ht="15" customHeight="1">
      <c r="A34" s="10" t="s">
        <v>39</v>
      </c>
      <c r="B34" s="23"/>
      <c r="C34" s="23"/>
      <c r="D34" s="24">
        <f>-'[1]4Q12 Trial Balance'!F115</f>
        <v>108293.60999999999</v>
      </c>
      <c r="E34" s="24"/>
      <c r="F34" s="29"/>
      <c r="G34" s="29"/>
      <c r="H34" s="29"/>
    </row>
    <row r="35" spans="1:5" ht="15" customHeight="1">
      <c r="A35" s="10" t="s">
        <v>40</v>
      </c>
      <c r="B35" s="20"/>
      <c r="C35" s="23"/>
      <c r="D35" s="31">
        <f>-'[1]4Q12 Trial Balance'!F136</f>
        <v>150194.15999999997</v>
      </c>
      <c r="E35" s="20"/>
    </row>
    <row r="36" spans="1:5" ht="15" customHeight="1">
      <c r="A36" s="10" t="s">
        <v>41</v>
      </c>
      <c r="B36" s="20"/>
      <c r="C36" s="20"/>
      <c r="D36" s="26">
        <f>-'[1]4Q12 Trial Balance'!F121</f>
        <v>39370.68</v>
      </c>
      <c r="E36" s="20"/>
    </row>
    <row r="37" spans="1:5" ht="15" customHeight="1">
      <c r="A37" s="10"/>
      <c r="B37" s="21"/>
      <c r="C37" s="20"/>
      <c r="D37" s="20"/>
      <c r="E37" s="20"/>
    </row>
    <row r="38" spans="1:5" ht="15" customHeight="1">
      <c r="A38" s="32" t="s">
        <v>42</v>
      </c>
      <c r="B38" s="20"/>
      <c r="C38" s="20"/>
      <c r="D38" s="23"/>
      <c r="E38" s="28">
        <f>SUM(D30:D36)</f>
        <v>15372346.190000001</v>
      </c>
    </row>
    <row r="39" spans="1:5" ht="15" customHeight="1">
      <c r="A39" s="32"/>
      <c r="B39" s="20"/>
      <c r="C39" s="20"/>
      <c r="D39" s="23"/>
      <c r="E39" s="33"/>
    </row>
    <row r="40" spans="1:7" ht="15" customHeight="1">
      <c r="A40" s="17" t="s">
        <v>43</v>
      </c>
      <c r="B40" s="20"/>
      <c r="C40" s="20"/>
      <c r="D40" s="23"/>
      <c r="E40" s="34">
        <f>E27+E38-1</f>
        <v>21954785.67</v>
      </c>
      <c r="G40" s="16"/>
    </row>
    <row r="41" spans="1:5" ht="15" customHeight="1">
      <c r="A41" s="19"/>
      <c r="B41" s="20"/>
      <c r="C41" s="20"/>
      <c r="D41" s="23"/>
      <c r="E41" s="20"/>
    </row>
    <row r="42" spans="1:5" ht="15" customHeight="1">
      <c r="A42" s="22" t="s">
        <v>44</v>
      </c>
      <c r="B42" s="20"/>
      <c r="C42" s="20"/>
      <c r="D42" s="23"/>
      <c r="E42" s="20"/>
    </row>
    <row r="43" spans="1:8" ht="15" customHeight="1">
      <c r="A43" s="10" t="s">
        <v>187</v>
      </c>
      <c r="B43" s="20"/>
      <c r="C43" s="20"/>
      <c r="D43" s="23"/>
      <c r="E43" s="35">
        <f>+E16-E40</f>
        <v>-14511072.910000002</v>
      </c>
      <c r="F43" s="36"/>
      <c r="G43" s="16"/>
      <c r="H43" s="15"/>
    </row>
    <row r="44" spans="1:5" ht="15" customHeight="1">
      <c r="A44" s="19"/>
      <c r="B44" s="23"/>
      <c r="C44" s="23"/>
      <c r="D44" s="23"/>
      <c r="E44" s="20"/>
    </row>
    <row r="45" spans="1:7" ht="15" customHeight="1" thickBot="1">
      <c r="A45" s="32" t="s">
        <v>45</v>
      </c>
      <c r="B45" s="20"/>
      <c r="C45" s="20"/>
      <c r="D45" s="20"/>
      <c r="E45" s="312">
        <f>E40+E43</f>
        <v>7443712.76</v>
      </c>
      <c r="F45" s="15"/>
      <c r="G45" s="37"/>
    </row>
    <row r="46" spans="1:6" ht="15" customHeight="1" thickTop="1">
      <c r="A46" s="38"/>
      <c r="B46" s="39"/>
      <c r="C46" s="39"/>
      <c r="D46" s="39"/>
      <c r="E46" s="39"/>
      <c r="F46" s="37"/>
    </row>
    <row r="55" spans="1:5" ht="15" customHeight="1">
      <c r="A55" s="40"/>
      <c r="E55" s="42"/>
    </row>
    <row r="58" spans="2:5" s="43" customFormat="1" ht="15" customHeight="1">
      <c r="B58" s="44"/>
      <c r="C58" s="44"/>
      <c r="E58" s="45"/>
    </row>
    <row r="59" spans="2:5" s="43" customFormat="1" ht="15" customHeight="1">
      <c r="B59" s="44"/>
      <c r="C59" s="44"/>
      <c r="D59" s="44"/>
      <c r="E59" s="45"/>
    </row>
  </sheetData>
  <sheetProtection/>
  <mergeCells count="4">
    <mergeCell ref="A1:E1"/>
    <mergeCell ref="A2:E2"/>
    <mergeCell ref="A3:E3"/>
    <mergeCell ref="A4:E4"/>
  </mergeCells>
  <printOptions horizontalCentered="1"/>
  <pageMargins left="0.25" right="0.25" top="0.5" bottom="0.5" header="0.25" footer="0.25"/>
  <pageSetup horizontalDpi="300" verticalDpi="3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47" customWidth="1"/>
    <col min="2" max="4" width="16.7109375" style="269" customWidth="1"/>
    <col min="5" max="6" width="16.7109375" style="263" customWidth="1"/>
    <col min="7" max="16384" width="15.7109375" style="168" customWidth="1"/>
  </cols>
  <sheetData>
    <row r="1" spans="1:6" s="240" customFormat="1" ht="24.75" customHeight="1">
      <c r="A1" s="336" t="s">
        <v>0</v>
      </c>
      <c r="B1" s="336"/>
      <c r="C1" s="336"/>
      <c r="D1" s="336"/>
      <c r="E1" s="336"/>
      <c r="F1" s="336"/>
    </row>
    <row r="2" spans="1:6" s="243" customFormat="1" ht="15" customHeight="1">
      <c r="A2" s="241"/>
      <c r="B2" s="242"/>
      <c r="C2" s="242"/>
      <c r="D2" s="242"/>
      <c r="E2" s="242"/>
      <c r="F2" s="242"/>
    </row>
    <row r="3" spans="1:6" s="244" customFormat="1" ht="15" customHeight="1">
      <c r="A3" s="337" t="s">
        <v>171</v>
      </c>
      <c r="B3" s="337"/>
      <c r="C3" s="337"/>
      <c r="D3" s="337"/>
      <c r="E3" s="337"/>
      <c r="F3" s="337"/>
    </row>
    <row r="4" spans="1:6" s="244" customFormat="1" ht="15" customHeight="1">
      <c r="A4" s="337" t="s">
        <v>191</v>
      </c>
      <c r="B4" s="337"/>
      <c r="C4" s="337"/>
      <c r="D4" s="337"/>
      <c r="E4" s="337"/>
      <c r="F4" s="337"/>
    </row>
    <row r="5" spans="1:6" s="246" customFormat="1" ht="15" customHeight="1">
      <c r="A5" s="241"/>
      <c r="B5" s="245"/>
      <c r="C5" s="245"/>
      <c r="D5" s="245"/>
      <c r="E5" s="242"/>
      <c r="F5" s="242"/>
    </row>
    <row r="6" spans="2:6" ht="30" customHeight="1">
      <c r="B6" s="192" t="s">
        <v>1</v>
      </c>
      <c r="C6" s="192" t="s">
        <v>2</v>
      </c>
      <c r="D6" s="192" t="s">
        <v>3</v>
      </c>
      <c r="E6" s="192" t="s">
        <v>4</v>
      </c>
      <c r="F6" s="192" t="s">
        <v>5</v>
      </c>
    </row>
    <row r="7" spans="1:6" ht="15" customHeight="1">
      <c r="A7" s="248" t="s">
        <v>172</v>
      </c>
      <c r="B7" s="249"/>
      <c r="C7" s="249"/>
      <c r="D7" s="249"/>
      <c r="E7" s="249"/>
      <c r="F7" s="249"/>
    </row>
    <row r="8" spans="1:6" ht="15" customHeight="1">
      <c r="A8" s="248" t="s">
        <v>173</v>
      </c>
      <c r="B8" s="250"/>
      <c r="C8" s="250"/>
      <c r="D8" s="250"/>
      <c r="E8" s="250"/>
      <c r="F8" s="250"/>
    </row>
    <row r="9" spans="1:6" ht="15" customHeight="1">
      <c r="A9" s="251" t="s">
        <v>174</v>
      </c>
      <c r="B9" s="199">
        <f>'[2]Loss Expenses Paid YTD-16'!E21</f>
        <v>1703217.69</v>
      </c>
      <c r="C9" s="199">
        <f>'[2]Loss Expenses Paid YTD-16'!E15</f>
        <v>3291276.59</v>
      </c>
      <c r="D9" s="199">
        <f>'[2]Loss Expenses Paid YTD-16'!E9+'[1]4Q12 Trial Balance'!E275</f>
        <v>328932.61</v>
      </c>
      <c r="E9" s="212">
        <v>0</v>
      </c>
      <c r="F9" s="199">
        <f>SUM(B9:E9)+1</f>
        <v>5323427.89</v>
      </c>
    </row>
    <row r="10" spans="1:6" ht="15" customHeight="1">
      <c r="A10" s="251" t="s">
        <v>153</v>
      </c>
      <c r="B10" s="201">
        <f>'[2]Loss Expenses Paid YTD-16'!E22</f>
        <v>1839807.75</v>
      </c>
      <c r="C10" s="201">
        <f>'[2]Loss Expenses Paid YTD-16'!E16+'[1]4Q12 Trial Balance'!E278</f>
        <v>911493.1900000001</v>
      </c>
      <c r="D10" s="201">
        <f>'[2]Loss Expenses Paid YTD-16'!E10+'[1]4Q12 Trial Balance'!E276</f>
        <v>90458.85</v>
      </c>
      <c r="E10" s="212">
        <v>0</v>
      </c>
      <c r="F10" s="201">
        <f>SUM(B10:E10)</f>
        <v>2841759.79</v>
      </c>
    </row>
    <row r="11" spans="1:6" ht="15" customHeight="1">
      <c r="A11" s="251" t="s">
        <v>154</v>
      </c>
      <c r="B11" s="212">
        <f>'[2]Loss Expenses Paid YTD-16'!E23</f>
        <v>0</v>
      </c>
      <c r="C11" s="201">
        <f>'[2]Loss Expenses Paid YTD-16'!E17</f>
        <v>1597.1</v>
      </c>
      <c r="D11" s="212">
        <f>'[2]Loss Expenses Paid YTD-16'!E11</f>
        <v>0</v>
      </c>
      <c r="E11" s="212">
        <v>0</v>
      </c>
      <c r="F11" s="201">
        <f>SUM(B11:E11)</f>
        <v>1597.1</v>
      </c>
    </row>
    <row r="12" spans="1:6" ht="15" customHeight="1" thickBot="1">
      <c r="A12" s="252" t="s">
        <v>155</v>
      </c>
      <c r="B12" s="113">
        <f>SUM(B9:B11)+1</f>
        <v>3543026.44</v>
      </c>
      <c r="C12" s="113">
        <f>SUM(C9:C11)</f>
        <v>4204366.88</v>
      </c>
      <c r="D12" s="113">
        <f>SUM(D9:D11)+1</f>
        <v>419392.45999999996</v>
      </c>
      <c r="E12" s="213">
        <f>SUM(E9:E11)</f>
        <v>0</v>
      </c>
      <c r="F12" s="254">
        <f>SUM(F9:F11)</f>
        <v>8166784.779999999</v>
      </c>
    </row>
    <row r="13" spans="1:6" ht="15" customHeight="1" thickTop="1">
      <c r="A13" s="248"/>
      <c r="B13" s="255"/>
      <c r="C13" s="255"/>
      <c r="D13" s="255"/>
      <c r="E13" s="201"/>
      <c r="F13" s="201"/>
    </row>
    <row r="14" spans="1:6" ht="15" customHeight="1">
      <c r="A14" s="248" t="s">
        <v>198</v>
      </c>
      <c r="B14" s="255"/>
      <c r="C14" s="255"/>
      <c r="D14" s="255"/>
      <c r="E14" s="201"/>
      <c r="F14" s="201"/>
    </row>
    <row r="15" spans="1:6" ht="15" customHeight="1">
      <c r="A15" s="251" t="s">
        <v>175</v>
      </c>
      <c r="B15" s="201">
        <f>'[2]Unpaid Loss Reserves-13'!B9</f>
        <v>1451409.47</v>
      </c>
      <c r="C15" s="201">
        <f>'[2]Unpaid Loss Reserves-13'!C9</f>
        <v>337926.74</v>
      </c>
      <c r="D15" s="201">
        <f>'[2]Unpaid Loss Reserves-13'!D9</f>
        <v>52262.79</v>
      </c>
      <c r="E15" s="212">
        <v>0</v>
      </c>
      <c r="F15" s="201">
        <f>SUM(B15:E15)</f>
        <v>1841599</v>
      </c>
    </row>
    <row r="16" spans="1:6" ht="15" customHeight="1">
      <c r="A16" s="251" t="s">
        <v>176</v>
      </c>
      <c r="B16" s="201">
        <f>'[2]Unpaid Loss Reserves-13'!B10</f>
        <v>5805124.98</v>
      </c>
      <c r="C16" s="201">
        <f>'[2]Unpaid Loss Reserves-13'!C10</f>
        <v>1072160.33</v>
      </c>
      <c r="D16" s="212">
        <f>'[2]Unpaid Loss Reserves-13'!D10</f>
        <v>0</v>
      </c>
      <c r="E16" s="212">
        <v>0</v>
      </c>
      <c r="F16" s="201">
        <f>SUM(B16:E16)</f>
        <v>6877285.3100000005</v>
      </c>
    </row>
    <row r="17" spans="1:6" ht="15" customHeight="1">
      <c r="A17" s="251" t="s">
        <v>177</v>
      </c>
      <c r="B17" s="212">
        <f>'[2]Unpaid Loss Reserves-13'!B11</f>
        <v>0</v>
      </c>
      <c r="C17" s="212">
        <f>'[2]Unpaid Loss Reserves-13'!C11</f>
        <v>0</v>
      </c>
      <c r="D17" s="212">
        <f>'[2]Unpaid Loss Reserves-13'!D11</f>
        <v>0</v>
      </c>
      <c r="E17" s="212">
        <v>0</v>
      </c>
      <c r="F17" s="212">
        <f>SUM(B17:E17)</f>
        <v>0</v>
      </c>
    </row>
    <row r="18" spans="1:6" ht="15" customHeight="1" thickBot="1">
      <c r="A18" s="252" t="s">
        <v>155</v>
      </c>
      <c r="B18" s="113">
        <f>SUM(B15:B17)</f>
        <v>7256534.45</v>
      </c>
      <c r="C18" s="113">
        <f>SUM(C15:C17)</f>
        <v>1410087.07</v>
      </c>
      <c r="D18" s="113">
        <f>SUM(D15:D17)</f>
        <v>52262.79</v>
      </c>
      <c r="E18" s="213">
        <f>SUM(E15:E17)</f>
        <v>0</v>
      </c>
      <c r="F18" s="222">
        <f>SUM(F15:F17)</f>
        <v>8718884.31</v>
      </c>
    </row>
    <row r="19" spans="1:6" ht="15" customHeight="1" thickTop="1">
      <c r="A19" s="248"/>
      <c r="B19" s="100"/>
      <c r="C19" s="100"/>
      <c r="D19" s="100"/>
      <c r="E19" s="256"/>
      <c r="F19" s="256"/>
    </row>
    <row r="20" spans="1:6" ht="15" customHeight="1">
      <c r="A20" s="248" t="s">
        <v>199</v>
      </c>
      <c r="B20" s="257"/>
      <c r="C20" s="257"/>
      <c r="D20" s="257"/>
      <c r="E20" s="257"/>
      <c r="F20" s="257"/>
    </row>
    <row r="21" spans="1:6" ht="15" customHeight="1">
      <c r="A21" s="251" t="s">
        <v>175</v>
      </c>
      <c r="B21" s="201">
        <f>'[2]Unpaid Loss Reserves-13'!B16</f>
        <v>87634</v>
      </c>
      <c r="C21" s="201">
        <f>'[2]Unpaid Loss Reserves-13'!C16</f>
        <v>22058.06</v>
      </c>
      <c r="D21" s="212">
        <f>'[2]Unpaid Loss Reserves-13'!D16</f>
        <v>0</v>
      </c>
      <c r="E21" s="212">
        <v>0</v>
      </c>
      <c r="F21" s="201">
        <f>SUM(B21:E21)</f>
        <v>109692.06</v>
      </c>
    </row>
    <row r="22" spans="1:6" ht="15" customHeight="1">
      <c r="A22" s="251" t="s">
        <v>176</v>
      </c>
      <c r="B22" s="201">
        <f>'[2]Unpaid Loss Reserves-13'!B17</f>
        <v>350505</v>
      </c>
      <c r="C22" s="201">
        <f>'[2]Unpaid Loss Reserves-13'!C17</f>
        <v>69984.94</v>
      </c>
      <c r="D22" s="212">
        <f>'[2]Unpaid Loss Reserves-13'!D17</f>
        <v>0</v>
      </c>
      <c r="E22" s="212">
        <v>0</v>
      </c>
      <c r="F22" s="201">
        <f>SUM(B22:E22)</f>
        <v>420489.94</v>
      </c>
    </row>
    <row r="23" spans="1:6" ht="15" customHeight="1">
      <c r="A23" s="251" t="s">
        <v>177</v>
      </c>
      <c r="B23" s="212">
        <f>'[2]Unpaid Loss Reserves-13'!B18</f>
        <v>0</v>
      </c>
      <c r="C23" s="212">
        <f>'[2]Unpaid Loss Reserves-13'!C18</f>
        <v>0</v>
      </c>
      <c r="D23" s="212">
        <f>'[2]Unpaid Loss Reserves-13'!D18</f>
        <v>0</v>
      </c>
      <c r="E23" s="212">
        <v>0</v>
      </c>
      <c r="F23" s="212">
        <f>SUM(B23:E23)</f>
        <v>0</v>
      </c>
    </row>
    <row r="24" spans="1:6" ht="15" customHeight="1" thickBot="1">
      <c r="A24" s="252" t="s">
        <v>155</v>
      </c>
      <c r="B24" s="113">
        <f>SUM(B21:B23)</f>
        <v>438139</v>
      </c>
      <c r="C24" s="113">
        <f>SUM(C21:C23)</f>
        <v>92043</v>
      </c>
      <c r="D24" s="105">
        <f>SUM(D21:D23)</f>
        <v>0</v>
      </c>
      <c r="E24" s="213">
        <f>SUM(E21:E23)</f>
        <v>0</v>
      </c>
      <c r="F24" s="222">
        <f>SUM(F21:F23)</f>
        <v>530182</v>
      </c>
    </row>
    <row r="25" spans="1:6" ht="15" customHeight="1" thickTop="1">
      <c r="A25" s="248"/>
      <c r="B25" s="255"/>
      <c r="C25" s="255"/>
      <c r="D25" s="255"/>
      <c r="E25" s="201"/>
      <c r="F25" s="201"/>
    </row>
    <row r="26" spans="1:6" ht="15" customHeight="1">
      <c r="A26" s="248" t="s">
        <v>180</v>
      </c>
      <c r="B26" s="258"/>
      <c r="C26" s="258"/>
      <c r="D26" s="258"/>
      <c r="E26" s="201"/>
      <c r="F26" s="201"/>
    </row>
    <row r="27" spans="1:6" ht="15" customHeight="1">
      <c r="A27" s="248" t="s">
        <v>178</v>
      </c>
      <c r="B27" s="258"/>
      <c r="C27" s="258"/>
      <c r="D27" s="258"/>
      <c r="E27" s="201"/>
      <c r="F27" s="201"/>
    </row>
    <row r="28" spans="1:6" ht="15" customHeight="1">
      <c r="A28" s="251" t="s">
        <v>175</v>
      </c>
      <c r="B28" s="212">
        <v>0</v>
      </c>
      <c r="C28" s="255">
        <v>1416428.25</v>
      </c>
      <c r="D28" s="255">
        <v>511250.83</v>
      </c>
      <c r="E28" s="255">
        <v>185000</v>
      </c>
      <c r="F28" s="201">
        <f>SUM(B28:E28)</f>
        <v>2112679.08</v>
      </c>
    </row>
    <row r="29" spans="1:6" ht="15" customHeight="1">
      <c r="A29" s="251" t="s">
        <v>176</v>
      </c>
      <c r="B29" s="212">
        <v>0</v>
      </c>
      <c r="C29" s="255">
        <v>474479.02</v>
      </c>
      <c r="D29" s="255">
        <v>274389.69</v>
      </c>
      <c r="E29" s="255">
        <v>23000</v>
      </c>
      <c r="F29" s="201">
        <f>SUM(B29:E29)</f>
        <v>771868.71</v>
      </c>
    </row>
    <row r="30" spans="1:6" ht="15" customHeight="1">
      <c r="A30" s="251" t="s">
        <v>177</v>
      </c>
      <c r="B30" s="212">
        <v>0</v>
      </c>
      <c r="C30" s="212">
        <v>0</v>
      </c>
      <c r="D30" s="212">
        <v>0</v>
      </c>
      <c r="E30" s="212">
        <v>0</v>
      </c>
      <c r="F30" s="212">
        <f>SUM(B30:E30)</f>
        <v>0</v>
      </c>
    </row>
    <row r="31" spans="1:6" ht="15" customHeight="1" thickBot="1">
      <c r="A31" s="252" t="s">
        <v>155</v>
      </c>
      <c r="B31" s="105">
        <f>SUM(B28:B30)</f>
        <v>0</v>
      </c>
      <c r="C31" s="113">
        <f>SUM(C28:C30)</f>
        <v>1890907.27</v>
      </c>
      <c r="D31" s="113">
        <f>SUM(D28:D30)</f>
        <v>785640.52</v>
      </c>
      <c r="E31" s="260">
        <f>SUM(E28:E30)</f>
        <v>208000</v>
      </c>
      <c r="F31" s="222">
        <f>SUM(F28:F30)</f>
        <v>2884547.79</v>
      </c>
    </row>
    <row r="32" spans="1:6" s="261" customFormat="1" ht="15" customHeight="1" thickTop="1">
      <c r="A32" s="248"/>
      <c r="B32" s="258"/>
      <c r="C32" s="258"/>
      <c r="D32" s="258"/>
      <c r="E32" s="258"/>
      <c r="F32" s="258"/>
    </row>
    <row r="33" spans="1:6" ht="15" customHeight="1">
      <c r="A33" s="248" t="s">
        <v>179</v>
      </c>
      <c r="B33" s="255"/>
      <c r="C33" s="255"/>
      <c r="D33" s="255"/>
      <c r="E33" s="201"/>
      <c r="F33" s="201"/>
    </row>
    <row r="34" spans="1:6" ht="15" customHeight="1">
      <c r="A34" s="251" t="s">
        <v>175</v>
      </c>
      <c r="B34" s="201">
        <f aca="true" t="shared" si="0" ref="B34:C36">B9+(B15+B21-B28)</f>
        <v>3242261.16</v>
      </c>
      <c r="C34" s="202">
        <f>C9+(C15+C21-C28)+1</f>
        <v>2234834.1399999997</v>
      </c>
      <c r="D34" s="202">
        <f aca="true" t="shared" si="1" ref="D34:E36">D9+(D15+D21-D28)</f>
        <v>-130055.43000000005</v>
      </c>
      <c r="E34" s="202">
        <f t="shared" si="1"/>
        <v>-185000</v>
      </c>
      <c r="F34" s="201">
        <f>SUM(B34:E34)</f>
        <v>5162039.87</v>
      </c>
    </row>
    <row r="35" spans="1:6" ht="15" customHeight="1">
      <c r="A35" s="251" t="s">
        <v>176</v>
      </c>
      <c r="B35" s="201">
        <f t="shared" si="0"/>
        <v>7995437.73</v>
      </c>
      <c r="C35" s="202">
        <f t="shared" si="0"/>
        <v>1579159.44</v>
      </c>
      <c r="D35" s="202">
        <f t="shared" si="1"/>
        <v>-183930.84</v>
      </c>
      <c r="E35" s="202">
        <f t="shared" si="1"/>
        <v>-23000</v>
      </c>
      <c r="F35" s="202">
        <f>SUM(B35:E35)</f>
        <v>9367666.33</v>
      </c>
    </row>
    <row r="36" spans="1:6" ht="15" customHeight="1">
      <c r="A36" s="251" t="s">
        <v>177</v>
      </c>
      <c r="B36" s="212">
        <f t="shared" si="0"/>
        <v>0</v>
      </c>
      <c r="C36" s="201">
        <f t="shared" si="0"/>
        <v>1597.1</v>
      </c>
      <c r="D36" s="212">
        <f t="shared" si="1"/>
        <v>0</v>
      </c>
      <c r="E36" s="212">
        <f t="shared" si="1"/>
        <v>0</v>
      </c>
      <c r="F36" s="201">
        <f>SUM(B36:E36)</f>
        <v>1597.1</v>
      </c>
    </row>
    <row r="37" spans="1:6" ht="15" customHeight="1" thickBot="1">
      <c r="A37" s="252" t="s">
        <v>155</v>
      </c>
      <c r="B37" s="262">
        <f>SUM(B34:B36)</f>
        <v>11237698.89</v>
      </c>
      <c r="C37" s="262">
        <f>SUM(C34:C36)-1</f>
        <v>3815589.6799999997</v>
      </c>
      <c r="D37" s="262">
        <f>SUM(D34:D36)</f>
        <v>-313986.27</v>
      </c>
      <c r="E37" s="262">
        <f>SUM(E34:E36)</f>
        <v>-208000</v>
      </c>
      <c r="F37" s="262">
        <f>SUM(F34:F36)</f>
        <v>14531303.299999999</v>
      </c>
    </row>
    <row r="38" spans="2:6" ht="15" customHeight="1" thickTop="1">
      <c r="B38" s="257"/>
      <c r="C38" s="257"/>
      <c r="D38" s="257"/>
      <c r="F38" s="201"/>
    </row>
    <row r="39" spans="1:6" s="268" customFormat="1" ht="15" customHeight="1">
      <c r="A39" s="265"/>
      <c r="B39" s="266"/>
      <c r="C39" s="266"/>
      <c r="D39" s="266"/>
      <c r="E39" s="267"/>
      <c r="F39" s="201"/>
    </row>
    <row r="40" spans="2:4" ht="15" customHeight="1">
      <c r="B40" s="249"/>
      <c r="C40" s="249"/>
      <c r="D40" s="249"/>
    </row>
    <row r="41" spans="2:4" ht="15" customHeight="1">
      <c r="B41" s="249"/>
      <c r="C41" s="249"/>
      <c r="D41" s="249"/>
    </row>
    <row r="42" spans="2:4" ht="15" customHeight="1">
      <c r="B42" s="249"/>
      <c r="C42" s="249"/>
      <c r="D42" s="249"/>
    </row>
    <row r="43" spans="1:4" ht="15" customHeight="1">
      <c r="A43" s="241"/>
      <c r="B43" s="249"/>
      <c r="C43" s="249"/>
      <c r="D43" s="249"/>
    </row>
    <row r="44" spans="1:4" ht="15" customHeight="1">
      <c r="A44" s="241"/>
      <c r="B44" s="249"/>
      <c r="C44" s="249"/>
      <c r="D44" s="249"/>
    </row>
    <row r="45" spans="1:4" ht="15" customHeight="1">
      <c r="A45" s="241"/>
      <c r="B45" s="249"/>
      <c r="C45" s="249"/>
      <c r="D45" s="249"/>
    </row>
    <row r="46" spans="1:4" ht="15" customHeight="1">
      <c r="A46" s="241"/>
      <c r="B46" s="249"/>
      <c r="C46" s="249"/>
      <c r="D46" s="249"/>
    </row>
    <row r="47" spans="1:4" ht="15" customHeight="1">
      <c r="A47" s="241"/>
      <c r="B47" s="249"/>
      <c r="C47" s="249"/>
      <c r="D47" s="249"/>
    </row>
    <row r="48" spans="1:4" ht="15" customHeight="1">
      <c r="A48" s="241"/>
      <c r="B48" s="249"/>
      <c r="C48" s="249"/>
      <c r="D48" s="249"/>
    </row>
    <row r="49" spans="1:4" s="168" customFormat="1" ht="15" customHeight="1">
      <c r="A49" s="241"/>
      <c r="B49" s="249"/>
      <c r="C49" s="249"/>
      <c r="D49" s="249"/>
    </row>
    <row r="50" spans="1:4" s="168" customFormat="1" ht="15" customHeight="1">
      <c r="A50" s="241"/>
      <c r="B50" s="249"/>
      <c r="C50" s="249"/>
      <c r="D50" s="249"/>
    </row>
    <row r="51" spans="1:4" s="168" customFormat="1" ht="15" customHeight="1">
      <c r="A51" s="241"/>
      <c r="B51" s="249"/>
      <c r="C51" s="249"/>
      <c r="D51" s="249"/>
    </row>
    <row r="52" spans="1:4" s="168" customFormat="1" ht="15" customHeight="1">
      <c r="A52" s="241"/>
      <c r="B52" s="249"/>
      <c r="C52" s="249"/>
      <c r="D52" s="249"/>
    </row>
    <row r="53" spans="1:4" s="168" customFormat="1" ht="15" customHeight="1">
      <c r="A53" s="241"/>
      <c r="B53" s="249"/>
      <c r="C53" s="249"/>
      <c r="D53" s="249"/>
    </row>
    <row r="54" spans="1:4" s="168" customFormat="1" ht="15" customHeight="1">
      <c r="A54" s="241"/>
      <c r="B54" s="249"/>
      <c r="C54" s="249"/>
      <c r="D54" s="249"/>
    </row>
    <row r="55" spans="1:4" s="168" customFormat="1" ht="15" customHeight="1">
      <c r="A55" s="241"/>
      <c r="B55" s="269"/>
      <c r="C55" s="269"/>
      <c r="D55" s="269"/>
    </row>
    <row r="56" spans="1:4" s="168" customFormat="1" ht="15" customHeight="1">
      <c r="A56" s="241"/>
      <c r="B56" s="269"/>
      <c r="C56" s="269"/>
      <c r="D56" s="269"/>
    </row>
    <row r="57" spans="1:4" s="168" customFormat="1" ht="15" customHeight="1">
      <c r="A57" s="241"/>
      <c r="B57" s="269"/>
      <c r="C57" s="269"/>
      <c r="D57" s="269"/>
    </row>
    <row r="58" spans="1:4" s="168" customFormat="1" ht="15" customHeight="1">
      <c r="A58" s="241"/>
      <c r="B58" s="269"/>
      <c r="C58" s="269"/>
      <c r="D58" s="269"/>
    </row>
    <row r="59" spans="1:4" s="168" customFormat="1" ht="15" customHeight="1">
      <c r="A59" s="241"/>
      <c r="B59" s="269"/>
      <c r="C59" s="269"/>
      <c r="D59" s="269"/>
    </row>
    <row r="60" spans="1:4" s="168" customFormat="1" ht="15" customHeight="1">
      <c r="A60" s="241"/>
      <c r="B60" s="269"/>
      <c r="C60" s="269"/>
      <c r="D60" s="269"/>
    </row>
    <row r="61" spans="1:4" s="168" customFormat="1" ht="15" customHeight="1">
      <c r="A61" s="241"/>
      <c r="B61" s="269"/>
      <c r="C61" s="269"/>
      <c r="D61" s="269"/>
    </row>
    <row r="62" spans="1:4" s="168" customFormat="1" ht="15" customHeight="1">
      <c r="A62" s="241"/>
      <c r="B62" s="269"/>
      <c r="C62" s="269"/>
      <c r="D62" s="269"/>
    </row>
    <row r="63" spans="1:4" s="168" customFormat="1" ht="15" customHeight="1">
      <c r="A63" s="241"/>
      <c r="B63" s="269"/>
      <c r="C63" s="269"/>
      <c r="D63" s="269"/>
    </row>
    <row r="64" spans="1:4" s="168" customFormat="1" ht="15" customHeight="1">
      <c r="A64" s="241"/>
      <c r="B64" s="269"/>
      <c r="C64" s="269"/>
      <c r="D64" s="269"/>
    </row>
    <row r="65" s="168" customFormat="1" ht="15" customHeight="1">
      <c r="A65" s="241"/>
    </row>
    <row r="66" s="168" customFormat="1" ht="15" customHeight="1">
      <c r="A66" s="241"/>
    </row>
    <row r="67" s="168" customFormat="1" ht="15" customHeight="1">
      <c r="A67" s="241"/>
    </row>
    <row r="68" s="168" customFormat="1" ht="15" customHeight="1">
      <c r="A68" s="241"/>
    </row>
    <row r="69" s="168" customFormat="1" ht="15" customHeight="1">
      <c r="A69" s="241"/>
    </row>
    <row r="70" s="168" customFormat="1" ht="15" customHeight="1">
      <c r="A70" s="241"/>
    </row>
    <row r="71" s="168" customFormat="1" ht="15" customHeight="1">
      <c r="A71" s="241"/>
    </row>
    <row r="72" s="168" customFormat="1" ht="15" customHeight="1">
      <c r="A72" s="241"/>
    </row>
    <row r="73" s="168" customFormat="1" ht="15" customHeight="1">
      <c r="A73" s="241"/>
    </row>
    <row r="74" s="168" customFormat="1" ht="15" customHeight="1">
      <c r="A74" s="241"/>
    </row>
  </sheetData>
  <sheetProtection/>
  <mergeCells count="3">
    <mergeCell ref="A1:F1"/>
    <mergeCell ref="A3:F3"/>
    <mergeCell ref="A4:F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54" customWidth="1"/>
    <col min="2" max="2" width="19.00390625" style="223" customWidth="1"/>
    <col min="3" max="3" width="18.421875" style="223" customWidth="1"/>
    <col min="4" max="4" width="18.140625" style="223" customWidth="1"/>
    <col min="5" max="5" width="19.28125" style="62" customWidth="1"/>
    <col min="6" max="6" width="20.7109375" style="62" customWidth="1"/>
    <col min="7" max="7" width="15.7109375" style="62" customWidth="1"/>
    <col min="8" max="16384" width="15.7109375" style="54" customWidth="1"/>
  </cols>
  <sheetData>
    <row r="1" spans="1:7" s="275" customFormat="1" ht="30" customHeight="1">
      <c r="A1" s="270" t="s">
        <v>0</v>
      </c>
      <c r="B1" s="271"/>
      <c r="C1" s="271"/>
      <c r="D1" s="271"/>
      <c r="E1" s="272"/>
      <c r="F1" s="273"/>
      <c r="G1" s="274"/>
    </row>
    <row r="2" spans="1:6" ht="15" customHeight="1">
      <c r="A2" s="276"/>
      <c r="B2" s="277"/>
      <c r="C2" s="277"/>
      <c r="D2" s="277"/>
      <c r="E2" s="277"/>
      <c r="F2" s="278"/>
    </row>
    <row r="3" spans="1:7" s="134" customFormat="1" ht="15" customHeight="1">
      <c r="A3" s="279" t="s">
        <v>181</v>
      </c>
      <c r="B3" s="280"/>
      <c r="C3" s="280"/>
      <c r="D3" s="280"/>
      <c r="E3" s="281"/>
      <c r="F3" s="282"/>
      <c r="G3" s="133"/>
    </row>
    <row r="4" spans="1:7" s="134" customFormat="1" ht="15" customHeight="1">
      <c r="A4" s="279" t="s">
        <v>182</v>
      </c>
      <c r="B4" s="280"/>
      <c r="C4" s="280"/>
      <c r="D4" s="280"/>
      <c r="E4" s="281"/>
      <c r="F4" s="282"/>
      <c r="G4" s="133"/>
    </row>
    <row r="5" spans="1:7" s="134" customFormat="1" ht="15" customHeight="1">
      <c r="A5" s="49" t="s">
        <v>192</v>
      </c>
      <c r="B5" s="280"/>
      <c r="C5" s="280"/>
      <c r="D5" s="280"/>
      <c r="E5" s="281"/>
      <c r="F5" s="282"/>
      <c r="G5" s="133"/>
    </row>
    <row r="6" spans="1:6" ht="15" customHeight="1">
      <c r="A6" s="283"/>
      <c r="E6" s="278"/>
      <c r="F6" s="278"/>
    </row>
    <row r="7" spans="1:6" ht="30" customHeight="1">
      <c r="A7" s="169"/>
      <c r="B7" s="192" t="s">
        <v>1</v>
      </c>
      <c r="C7" s="192" t="s">
        <v>2</v>
      </c>
      <c r="D7" s="192" t="s">
        <v>3</v>
      </c>
      <c r="E7" s="192" t="s">
        <v>4</v>
      </c>
      <c r="F7" s="284" t="s">
        <v>5</v>
      </c>
    </row>
    <row r="8" spans="1:6" ht="30" customHeight="1">
      <c r="A8" s="285" t="s">
        <v>183</v>
      </c>
      <c r="B8" s="286"/>
      <c r="C8" s="286"/>
      <c r="D8" s="286"/>
      <c r="F8" s="287"/>
    </row>
    <row r="9" spans="1:37" ht="15" customHeight="1">
      <c r="A9" s="54" t="s">
        <v>6</v>
      </c>
      <c r="B9" s="288">
        <f>'[2]Loss Expenses Paid QTD-15'!K21</f>
        <v>69737.94</v>
      </c>
      <c r="C9" s="288">
        <f>'[2]Loss Expenses Paid QTD-15'!K15</f>
        <v>54217.16</v>
      </c>
      <c r="D9" s="288">
        <f>'[2]Loss Expenses Paid QTD-15'!K9</f>
        <v>813.85</v>
      </c>
      <c r="E9" s="158">
        <v>0</v>
      </c>
      <c r="F9" s="288">
        <f>SUM(B9:E9)</f>
        <v>124768.95000000001</v>
      </c>
      <c r="G9" s="31"/>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row>
    <row r="10" spans="1:37" s="70" customFormat="1" ht="15" customHeight="1">
      <c r="A10" s="70" t="s">
        <v>7</v>
      </c>
      <c r="B10" s="31">
        <f>'[2]Loss Expenses Paid QTD-15'!K22</f>
        <v>401546.30000000005</v>
      </c>
      <c r="C10" s="31">
        <f>'[2]Loss Expenses Paid QTD-15'!K16</f>
        <v>96255.89</v>
      </c>
      <c r="D10" s="31">
        <f>'[2]Loss Expenses Paid QTD-15'!K10</f>
        <v>776.13</v>
      </c>
      <c r="E10" s="158">
        <v>0</v>
      </c>
      <c r="F10" s="31">
        <f>SUM(B10:E10)</f>
        <v>498578.32000000007</v>
      </c>
      <c r="G10" s="31"/>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row>
    <row r="11" spans="1:37" s="70" customFormat="1" ht="15" customHeight="1">
      <c r="A11" s="70" t="s">
        <v>8</v>
      </c>
      <c r="B11" s="158">
        <f>'[2]Loss Expenses Paid QTD-15'!K23</f>
        <v>0</v>
      </c>
      <c r="C11" s="158">
        <f>'[2]Loss Expenses Paid QTD-15'!K17</f>
        <v>0</v>
      </c>
      <c r="D11" s="158">
        <f>'[2]Loss Expenses Paid QTD-15'!K11</f>
        <v>0</v>
      </c>
      <c r="E11" s="158">
        <v>0</v>
      </c>
      <c r="F11" s="158">
        <f>SUM(B11:E11)</f>
        <v>0</v>
      </c>
      <c r="G11" s="31"/>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row>
    <row r="12" spans="1:37" s="70" customFormat="1" ht="15" customHeight="1" thickBot="1">
      <c r="A12" s="291" t="s">
        <v>155</v>
      </c>
      <c r="B12" s="292">
        <f>SUM(B9:B11)</f>
        <v>471284.24000000005</v>
      </c>
      <c r="C12" s="292">
        <f>SUM(C9:C11)</f>
        <v>150473.05</v>
      </c>
      <c r="D12" s="292">
        <f>SUM(D9:D11)</f>
        <v>1589.98</v>
      </c>
      <c r="E12" s="293">
        <f>SUM(E9:E11)</f>
        <v>0</v>
      </c>
      <c r="F12" s="214">
        <f>SUM(F9:F11)</f>
        <v>623347.27</v>
      </c>
      <c r="G12" s="158"/>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row>
    <row r="13" spans="2:37" s="70" customFormat="1" ht="15" customHeight="1" thickTop="1">
      <c r="B13" s="208"/>
      <c r="C13" s="208"/>
      <c r="D13" s="208"/>
      <c r="E13" s="31"/>
      <c r="F13" s="62"/>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row>
    <row r="14" spans="1:37" s="70" customFormat="1" ht="30" customHeight="1">
      <c r="A14" s="294" t="s">
        <v>201</v>
      </c>
      <c r="B14" s="208"/>
      <c r="C14" s="208"/>
      <c r="D14" s="208"/>
      <c r="E14" s="31"/>
      <c r="F14" s="158"/>
      <c r="G14" s="31"/>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row>
    <row r="15" spans="1:37" s="70" customFormat="1" ht="15" customHeight="1">
      <c r="A15" s="54" t="s">
        <v>6</v>
      </c>
      <c r="B15" s="208">
        <f>'[2]Unpaid Loss Expense Reserves-14'!B22</f>
        <v>41018.259999999995</v>
      </c>
      <c r="C15" s="208">
        <f>'[2]Unpaid Loss Expense Reserves-14'!C22</f>
        <v>34244.11</v>
      </c>
      <c r="D15" s="31">
        <f>'[2]Unpaid Loss Expense Reserves-14'!D22</f>
        <v>31637.39</v>
      </c>
      <c r="E15" s="158">
        <v>0</v>
      </c>
      <c r="F15" s="31">
        <f>SUM(B15:E15)-1</f>
        <v>106898.76</v>
      </c>
      <c r="G15" s="31"/>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row>
    <row r="16" spans="1:37" s="70" customFormat="1" ht="15" customHeight="1">
      <c r="A16" s="70" t="s">
        <v>7</v>
      </c>
      <c r="B16" s="208">
        <f>'[2]Unpaid Loss Expense Reserves-14'!B23</f>
        <v>164053.54</v>
      </c>
      <c r="C16" s="208">
        <f>'[2]Unpaid Loss Expense Reserves-14'!C23</f>
        <v>108649.31</v>
      </c>
      <c r="D16" s="158">
        <f>'[2]Unpaid Loss Expense Reserves-14'!D23</f>
        <v>0</v>
      </c>
      <c r="E16" s="158">
        <v>0</v>
      </c>
      <c r="F16" s="31">
        <f>SUM(B16:E16)</f>
        <v>272702.85</v>
      </c>
      <c r="G16" s="31"/>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row>
    <row r="17" spans="1:37" s="70" customFormat="1" ht="15" customHeight="1">
      <c r="A17" s="70" t="s">
        <v>8</v>
      </c>
      <c r="B17" s="158">
        <f>'[2]Unpaid Loss Expense Reserves-14'!B24</f>
        <v>0</v>
      </c>
      <c r="C17" s="158">
        <f>'[2]Unpaid Loss Expense Reserves-14'!C24</f>
        <v>0</v>
      </c>
      <c r="D17" s="158">
        <f>'[2]Unpaid Loss Expense Reserves-14'!D24</f>
        <v>0</v>
      </c>
      <c r="E17" s="158">
        <v>0</v>
      </c>
      <c r="F17" s="158">
        <f>SUM(B17:E17)</f>
        <v>0</v>
      </c>
      <c r="G17" s="31"/>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row>
    <row r="18" spans="1:37" s="70" customFormat="1" ht="15" customHeight="1" thickBot="1">
      <c r="A18" s="291" t="s">
        <v>155</v>
      </c>
      <c r="B18" s="292">
        <f>SUM(B15:B17)</f>
        <v>205071.8</v>
      </c>
      <c r="C18" s="292">
        <f>SUM(C15:C17)</f>
        <v>142893.41999999998</v>
      </c>
      <c r="D18" s="292">
        <f>SUM(D15:D17)</f>
        <v>31637.39</v>
      </c>
      <c r="E18" s="293">
        <f>SUM(E15:E17)</f>
        <v>0</v>
      </c>
      <c r="F18" s="214">
        <f>SUM(F15:F17)</f>
        <v>379601.61</v>
      </c>
      <c r="G18" s="158"/>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row>
    <row r="19" spans="2:37" s="70" customFormat="1" ht="15" customHeight="1" thickTop="1">
      <c r="B19" s="208"/>
      <c r="C19" s="208"/>
      <c r="D19" s="208"/>
      <c r="E19" s="31"/>
      <c r="F19" s="62"/>
      <c r="G19" s="295"/>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row>
    <row r="20" spans="1:37" s="70" customFormat="1" ht="30" customHeight="1">
      <c r="A20" s="294" t="s">
        <v>202</v>
      </c>
      <c r="B20" s="211"/>
      <c r="C20" s="211"/>
      <c r="D20" s="211"/>
      <c r="E20" s="296"/>
      <c r="F20" s="158"/>
      <c r="G20" s="31"/>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row>
    <row r="21" spans="1:37" s="70" customFormat="1" ht="15" customHeight="1">
      <c r="A21" s="54" t="s">
        <v>6</v>
      </c>
      <c r="B21" s="208">
        <v>112185.37</v>
      </c>
      <c r="C21" s="208">
        <v>200811.52000000002</v>
      </c>
      <c r="D21" s="218">
        <v>41015.32000000001</v>
      </c>
      <c r="E21" s="158">
        <v>0</v>
      </c>
      <c r="F21" s="31">
        <f>SUM(B21:E21)</f>
        <v>354012.21</v>
      </c>
      <c r="G21" s="31"/>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row>
    <row r="22" spans="1:37" s="70" customFormat="1" ht="15" customHeight="1">
      <c r="A22" s="70" t="s">
        <v>9</v>
      </c>
      <c r="B22" s="208">
        <v>41294.24</v>
      </c>
      <c r="C22" s="208">
        <v>41494.15</v>
      </c>
      <c r="D22" s="218">
        <v>1568.54</v>
      </c>
      <c r="E22" s="158">
        <v>0</v>
      </c>
      <c r="F22" s="31">
        <f>SUM(B22:E22)</f>
        <v>84356.93</v>
      </c>
      <c r="G22" s="31"/>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row>
    <row r="23" spans="1:37" s="70" customFormat="1" ht="15" customHeight="1">
      <c r="A23" s="70" t="s">
        <v>8</v>
      </c>
      <c r="B23" s="158">
        <v>0</v>
      </c>
      <c r="C23" s="158">
        <v>0</v>
      </c>
      <c r="D23" s="158">
        <v>0</v>
      </c>
      <c r="E23" s="158">
        <v>0</v>
      </c>
      <c r="F23" s="158">
        <f>SUM(B23:E23)</f>
        <v>0</v>
      </c>
      <c r="G23" s="31"/>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row>
    <row r="24" spans="1:37" s="70" customFormat="1" ht="15" customHeight="1" thickBot="1">
      <c r="A24" s="291" t="s">
        <v>155</v>
      </c>
      <c r="B24" s="292">
        <f>SUM(B21:B23)-1</f>
        <v>153478.61</v>
      </c>
      <c r="C24" s="292">
        <f>SUM(C21:C23)</f>
        <v>242305.67</v>
      </c>
      <c r="D24" s="292">
        <f>SUM(D21:D23)</f>
        <v>42583.86000000001</v>
      </c>
      <c r="E24" s="293">
        <f>SUM(E21:E23)</f>
        <v>0</v>
      </c>
      <c r="F24" s="214">
        <f>SUM(F21:F23)</f>
        <v>438369.14</v>
      </c>
      <c r="G24" s="158"/>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row>
    <row r="25" spans="2:37" s="297" customFormat="1" ht="15" customHeight="1" thickTop="1">
      <c r="B25" s="211"/>
      <c r="C25" s="211"/>
      <c r="D25" s="211"/>
      <c r="E25" s="211"/>
      <c r="F25" s="211"/>
      <c r="G25" s="298"/>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row>
    <row r="26" spans="1:37" s="70" customFormat="1" ht="30" customHeight="1">
      <c r="A26" s="294" t="s">
        <v>184</v>
      </c>
      <c r="B26" s="208"/>
      <c r="C26" s="208"/>
      <c r="D26" s="208"/>
      <c r="E26" s="208"/>
      <c r="F26" s="208"/>
      <c r="G26" s="31"/>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row>
    <row r="27" spans="1:37" s="70" customFormat="1" ht="15" customHeight="1">
      <c r="A27" s="70" t="s">
        <v>6</v>
      </c>
      <c r="B27" s="300">
        <f aca="true" t="shared" si="0" ref="B27:C29">B9+B15-B21</f>
        <v>-1429.1699999999983</v>
      </c>
      <c r="C27" s="300">
        <f>C9+C15-C21-1</f>
        <v>-112351.25000000001</v>
      </c>
      <c r="D27" s="300">
        <f aca="true" t="shared" si="1" ref="D27:E29">D9+D15-D21</f>
        <v>-8564.080000000009</v>
      </c>
      <c r="E27" s="158">
        <f t="shared" si="1"/>
        <v>0</v>
      </c>
      <c r="F27" s="300">
        <f>SUM(B27:E27)+1</f>
        <v>-122343.50000000003</v>
      </c>
      <c r="G27" s="31"/>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row>
    <row r="28" spans="1:37" s="70" customFormat="1" ht="15" customHeight="1">
      <c r="A28" s="70" t="s">
        <v>7</v>
      </c>
      <c r="B28" s="31">
        <f t="shared" si="0"/>
        <v>524305.6000000001</v>
      </c>
      <c r="C28" s="300">
        <f t="shared" si="0"/>
        <v>163411.05000000002</v>
      </c>
      <c r="D28" s="300">
        <f>D10+D16-D22-1</f>
        <v>-793.41</v>
      </c>
      <c r="E28" s="158">
        <f t="shared" si="1"/>
        <v>0</v>
      </c>
      <c r="F28" s="300">
        <f>SUM(B28:E28)+1</f>
        <v>686924.2400000001</v>
      </c>
      <c r="G28" s="31"/>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row>
    <row r="29" spans="1:37" s="70" customFormat="1" ht="15" customHeight="1">
      <c r="A29" s="70" t="s">
        <v>8</v>
      </c>
      <c r="B29" s="158">
        <f t="shared" si="0"/>
        <v>0</v>
      </c>
      <c r="C29" s="158">
        <f t="shared" si="0"/>
        <v>0</v>
      </c>
      <c r="D29" s="158">
        <f t="shared" si="1"/>
        <v>0</v>
      </c>
      <c r="E29" s="158">
        <f t="shared" si="1"/>
        <v>0</v>
      </c>
      <c r="F29" s="158">
        <f>SUM(B29:E29)</f>
        <v>0</v>
      </c>
      <c r="G29" s="31"/>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row>
    <row r="30" spans="1:37" ht="15" customHeight="1" thickBot="1">
      <c r="A30" s="46" t="s">
        <v>155</v>
      </c>
      <c r="B30" s="301">
        <f>SUM(B27:B29)+1</f>
        <v>522877.4300000001</v>
      </c>
      <c r="C30" s="301">
        <f>SUM(C27:C29)</f>
        <v>51059.8</v>
      </c>
      <c r="D30" s="301">
        <f>SUM(D27:D29)</f>
        <v>-9357.490000000009</v>
      </c>
      <c r="E30" s="214">
        <f>SUM(E27:E29)</f>
        <v>0</v>
      </c>
      <c r="F30" s="301">
        <f>SUM(F27:F29)-1</f>
        <v>564579.7400000001</v>
      </c>
      <c r="G30" s="31"/>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row>
    <row r="31" spans="2:38" ht="15" customHeight="1" thickTop="1">
      <c r="B31" s="209"/>
      <c r="C31" s="209"/>
      <c r="D31" s="209"/>
      <c r="F31" s="31"/>
      <c r="H31" s="302"/>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row>
    <row r="32" spans="2:38" s="62" customFormat="1" ht="15" customHeight="1">
      <c r="B32" s="209"/>
      <c r="C32" s="209"/>
      <c r="D32" s="209"/>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2:38" ht="15" customHeight="1">
      <c r="B33" s="209"/>
      <c r="C33" s="209"/>
      <c r="D33" s="209"/>
      <c r="F33" s="31"/>
      <c r="G33" s="31"/>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row>
    <row r="34" spans="2:38" ht="15" customHeight="1">
      <c r="B34" s="209"/>
      <c r="C34" s="209"/>
      <c r="D34" s="209"/>
      <c r="F34" s="31"/>
      <c r="G34" s="31"/>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row>
    <row r="35" spans="2:38" ht="15" customHeight="1">
      <c r="B35" s="209"/>
      <c r="C35" s="209"/>
      <c r="D35" s="209"/>
      <c r="F35" s="31"/>
      <c r="G35" s="31"/>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row>
    <row r="36" spans="2:38" ht="15" customHeight="1">
      <c r="B36" s="209"/>
      <c r="C36" s="209"/>
      <c r="D36" s="209"/>
      <c r="F36" s="31"/>
      <c r="G36" s="31"/>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row>
    <row r="37" spans="2:38" ht="15" customHeight="1">
      <c r="B37" s="209"/>
      <c r="C37" s="209"/>
      <c r="D37" s="209"/>
      <c r="F37" s="31"/>
      <c r="G37" s="31"/>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row>
    <row r="38" spans="6:38" ht="15" customHeight="1">
      <c r="F38" s="31"/>
      <c r="G38" s="31"/>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row>
    <row r="39" spans="6:38" ht="15" customHeight="1">
      <c r="F39" s="31"/>
      <c r="G39" s="31"/>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row>
    <row r="40" spans="6:38" ht="15" customHeight="1">
      <c r="F40" s="31"/>
      <c r="G40" s="31"/>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row>
    <row r="41" spans="6:38" ht="15" customHeight="1">
      <c r="F41" s="31"/>
      <c r="G41" s="31"/>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row>
    <row r="42" spans="6:38" ht="15" customHeight="1">
      <c r="F42" s="31"/>
      <c r="G42" s="31"/>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row>
    <row r="43" spans="6:38" ht="15" customHeight="1">
      <c r="F43" s="31"/>
      <c r="G43" s="31"/>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row>
    <row r="44" spans="6:38" ht="15" customHeight="1">
      <c r="F44" s="31"/>
      <c r="G44" s="31"/>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row>
    <row r="45" spans="6:38" ht="15" customHeight="1">
      <c r="F45" s="31"/>
      <c r="G45" s="31"/>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row>
    <row r="46" spans="6:38" ht="15" customHeight="1">
      <c r="F46" s="31"/>
      <c r="G46" s="31"/>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row>
    <row r="47" spans="6:38" ht="15" customHeight="1">
      <c r="F47" s="31"/>
      <c r="G47" s="31"/>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row>
    <row r="48" spans="6:38" ht="15" customHeight="1">
      <c r="F48" s="31"/>
      <c r="G48" s="31"/>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row>
    <row r="49" spans="6:38" s="54" customFormat="1" ht="15" customHeight="1">
      <c r="F49" s="31"/>
      <c r="G49" s="31"/>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row>
    <row r="50" spans="6:38" s="54" customFormat="1" ht="15" customHeight="1">
      <c r="F50" s="31"/>
      <c r="G50" s="31"/>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row>
    <row r="51" spans="6:38" s="54" customFormat="1" ht="15" customHeight="1">
      <c r="F51" s="31"/>
      <c r="G51" s="31"/>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row>
    <row r="52" spans="6:38" s="54" customFormat="1" ht="15" customHeight="1">
      <c r="F52" s="31"/>
      <c r="G52" s="31"/>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row>
    <row r="53" spans="6:38" s="54" customFormat="1" ht="15" customHeight="1">
      <c r="F53" s="31"/>
      <c r="G53" s="31"/>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row>
    <row r="54" spans="6:38" s="54" customFormat="1" ht="15" customHeight="1">
      <c r="F54" s="31"/>
      <c r="G54" s="31"/>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row>
    <row r="55" spans="6:38" s="54" customFormat="1" ht="15" customHeight="1">
      <c r="F55" s="31"/>
      <c r="G55" s="31"/>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row>
    <row r="56" spans="6:38" s="54" customFormat="1" ht="15" customHeight="1">
      <c r="F56" s="31"/>
      <c r="G56" s="31"/>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row>
    <row r="57" spans="6:38" s="54" customFormat="1" ht="15" customHeight="1">
      <c r="F57" s="31"/>
      <c r="G57" s="31"/>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row>
    <row r="58" spans="6:38" s="54" customFormat="1" ht="15" customHeight="1">
      <c r="F58" s="31"/>
      <c r="G58" s="31"/>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row>
    <row r="59" spans="6:38" s="54" customFormat="1" ht="15" customHeight="1">
      <c r="F59" s="31"/>
      <c r="G59" s="31"/>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row>
    <row r="60" spans="6:38" s="54" customFormat="1" ht="15" customHeight="1">
      <c r="F60" s="31"/>
      <c r="G60" s="31"/>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row>
    <row r="61" spans="6:38" s="54" customFormat="1" ht="15" customHeight="1">
      <c r="F61" s="31"/>
      <c r="G61" s="31"/>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row>
    <row r="62" spans="6:38" s="54" customFormat="1" ht="15" customHeight="1">
      <c r="F62" s="31"/>
      <c r="G62" s="31"/>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row>
    <row r="63" spans="6:38" s="54" customFormat="1" ht="15" customHeight="1">
      <c r="F63" s="31"/>
      <c r="G63" s="31"/>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row>
    <row r="64" spans="6:38" s="54" customFormat="1" ht="15" customHeight="1">
      <c r="F64" s="31"/>
      <c r="G64" s="31"/>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row>
    <row r="65" spans="6:38" s="54" customFormat="1" ht="15" customHeight="1">
      <c r="F65" s="31"/>
      <c r="G65" s="31"/>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row>
    <row r="66" spans="6:38" s="54" customFormat="1" ht="15" customHeight="1">
      <c r="F66" s="31"/>
      <c r="G66" s="31"/>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row>
    <row r="67" spans="6:38" s="54" customFormat="1" ht="15" customHeight="1">
      <c r="F67" s="31"/>
      <c r="G67" s="31"/>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row>
    <row r="68" spans="6:38" s="54" customFormat="1" ht="15" customHeight="1">
      <c r="F68" s="31"/>
      <c r="G68" s="31"/>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row>
    <row r="69" spans="6:38" s="54" customFormat="1" ht="15" customHeight="1">
      <c r="F69" s="31"/>
      <c r="G69" s="31"/>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row>
    <row r="70" spans="6:38" s="54" customFormat="1" ht="15" customHeight="1">
      <c r="F70" s="31"/>
      <c r="G70" s="31"/>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row>
    <row r="71" spans="6:38" s="54" customFormat="1" ht="15" customHeight="1">
      <c r="F71" s="31"/>
      <c r="G71" s="31"/>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row>
    <row r="72" spans="6:38" s="54" customFormat="1" ht="15" customHeight="1">
      <c r="F72" s="31"/>
      <c r="G72" s="31"/>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row>
    <row r="73" spans="6:38" s="54" customFormat="1" ht="15" customHeight="1">
      <c r="F73" s="31"/>
      <c r="G73" s="31"/>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row>
    <row r="74" spans="6:38" s="54" customFormat="1" ht="15" customHeight="1">
      <c r="F74" s="31"/>
      <c r="G74" s="31"/>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row>
    <row r="75" spans="6:38" s="54" customFormat="1" ht="15" customHeight="1">
      <c r="F75" s="31"/>
      <c r="G75" s="31"/>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row>
    <row r="76" spans="6:38" s="54" customFormat="1" ht="15" customHeight="1">
      <c r="F76" s="31"/>
      <c r="G76" s="31"/>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row>
    <row r="77" spans="6:38" s="54" customFormat="1" ht="15" customHeight="1">
      <c r="F77" s="31"/>
      <c r="G77" s="31"/>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row>
    <row r="78" spans="6:38" s="54" customFormat="1" ht="15" customHeight="1">
      <c r="F78" s="31"/>
      <c r="G78" s="31"/>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row>
    <row r="79" spans="6:38" s="54" customFormat="1" ht="15" customHeight="1">
      <c r="F79" s="31"/>
      <c r="G79" s="31"/>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row>
  </sheetData>
  <sheetProtection/>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54" customWidth="1"/>
    <col min="2" max="2" width="19.00390625" style="223" customWidth="1"/>
    <col min="3" max="3" width="18.421875" style="223" customWidth="1"/>
    <col min="4" max="4" width="18.140625" style="223" customWidth="1"/>
    <col min="5" max="5" width="19.421875" style="62" customWidth="1"/>
    <col min="6" max="6" width="20.7109375" style="62" customWidth="1"/>
    <col min="7" max="7" width="15.7109375" style="62" customWidth="1"/>
    <col min="8" max="16384" width="15.7109375" style="54" customWidth="1"/>
  </cols>
  <sheetData>
    <row r="1" spans="1:7" s="275" customFormat="1" ht="30" customHeight="1">
      <c r="A1" s="270" t="s">
        <v>0</v>
      </c>
      <c r="B1" s="271"/>
      <c r="C1" s="271"/>
      <c r="D1" s="271"/>
      <c r="E1" s="272"/>
      <c r="F1" s="273"/>
      <c r="G1" s="274"/>
    </row>
    <row r="2" spans="1:6" ht="15" customHeight="1">
      <c r="A2" s="276"/>
      <c r="B2" s="277"/>
      <c r="C2" s="277"/>
      <c r="D2" s="277"/>
      <c r="E2" s="277"/>
      <c r="F2" s="278"/>
    </row>
    <row r="3" spans="1:7" s="134" customFormat="1" ht="15" customHeight="1">
      <c r="A3" s="279" t="s">
        <v>181</v>
      </c>
      <c r="B3" s="280"/>
      <c r="C3" s="280"/>
      <c r="D3" s="280"/>
      <c r="E3" s="281"/>
      <c r="F3" s="282"/>
      <c r="G3" s="133"/>
    </row>
    <row r="4" spans="1:7" s="134" customFormat="1" ht="15" customHeight="1">
      <c r="A4" s="279" t="s">
        <v>182</v>
      </c>
      <c r="B4" s="280"/>
      <c r="C4" s="280"/>
      <c r="D4" s="280"/>
      <c r="E4" s="281"/>
      <c r="F4" s="282"/>
      <c r="G4" s="133"/>
    </row>
    <row r="5" spans="1:7" s="134" customFormat="1" ht="15" customHeight="1">
      <c r="A5" s="49" t="s">
        <v>193</v>
      </c>
      <c r="B5" s="280"/>
      <c r="C5" s="280"/>
      <c r="D5" s="280"/>
      <c r="E5" s="281"/>
      <c r="F5" s="282"/>
      <c r="G5" s="133"/>
    </row>
    <row r="6" spans="1:6" ht="15" customHeight="1">
      <c r="A6" s="283"/>
      <c r="E6" s="278"/>
      <c r="F6" s="278"/>
    </row>
    <row r="7" spans="1:6" ht="30" customHeight="1">
      <c r="A7" s="169"/>
      <c r="B7" s="192" t="s">
        <v>1</v>
      </c>
      <c r="C7" s="192" t="s">
        <v>2</v>
      </c>
      <c r="D7" s="192" t="s">
        <v>3</v>
      </c>
      <c r="E7" s="192" t="s">
        <v>4</v>
      </c>
      <c r="F7" s="284" t="s">
        <v>5</v>
      </c>
    </row>
    <row r="8" spans="1:6" ht="30" customHeight="1">
      <c r="A8" s="285" t="s">
        <v>183</v>
      </c>
      <c r="B8" s="286"/>
      <c r="C8" s="286"/>
      <c r="D8" s="286"/>
      <c r="F8" s="287"/>
    </row>
    <row r="9" spans="1:37" ht="15" customHeight="1">
      <c r="A9" s="54" t="s">
        <v>6</v>
      </c>
      <c r="B9" s="288">
        <f>'[2]Loss Expenses Paid YTD-16'!K21</f>
        <v>186608.65000000002</v>
      </c>
      <c r="C9" s="288">
        <f>'[2]Loss Expenses Paid YTD-16'!K15</f>
        <v>459899.55</v>
      </c>
      <c r="D9" s="288">
        <f>'[2]Loss Expenses Paid YTD-16'!K9</f>
        <v>76114.3</v>
      </c>
      <c r="E9" s="158">
        <v>0</v>
      </c>
      <c r="F9" s="288">
        <f>SUM(B9:E9)</f>
        <v>722622.5</v>
      </c>
      <c r="G9" s="31"/>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row>
    <row r="10" spans="1:37" s="70" customFormat="1" ht="15" customHeight="1">
      <c r="A10" s="70" t="s">
        <v>7</v>
      </c>
      <c r="B10" s="31">
        <f>'[2]Loss Expenses Paid YTD-16'!K22</f>
        <v>447343</v>
      </c>
      <c r="C10" s="31">
        <f>'[2]Loss Expenses Paid YTD-16'!K16</f>
        <v>319083.07999999996</v>
      </c>
      <c r="D10" s="31">
        <f>'[2]Loss Expenses Paid YTD-16'!K10</f>
        <v>50743.189999999995</v>
      </c>
      <c r="E10" s="158">
        <v>0</v>
      </c>
      <c r="F10" s="31">
        <f>SUM(B10:E10)</f>
        <v>817169.2699999999</v>
      </c>
      <c r="G10" s="31"/>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row>
    <row r="11" spans="1:37" s="70" customFormat="1" ht="15" customHeight="1">
      <c r="A11" s="70" t="s">
        <v>8</v>
      </c>
      <c r="B11" s="158">
        <f>'[2]Loss Expenses Paid YTD-16'!K23</f>
        <v>0</v>
      </c>
      <c r="C11" s="31">
        <f>'[2]Loss Expenses Paid YTD-16'!K17</f>
        <v>129.89</v>
      </c>
      <c r="D11" s="158">
        <f>'[2]Loss Expenses Paid YTD-16'!K11</f>
        <v>0</v>
      </c>
      <c r="E11" s="158">
        <v>0</v>
      </c>
      <c r="F11" s="31">
        <f>SUM(B11:E11)</f>
        <v>129.89</v>
      </c>
      <c r="G11" s="31"/>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row>
    <row r="12" spans="1:37" s="70" customFormat="1" ht="15" customHeight="1" thickBot="1">
      <c r="A12" s="291" t="s">
        <v>155</v>
      </c>
      <c r="B12" s="292">
        <f>SUM(B9:B11)</f>
        <v>633951.65</v>
      </c>
      <c r="C12" s="292">
        <f>SUM(C9:C11)</f>
        <v>779112.5199999999</v>
      </c>
      <c r="D12" s="292">
        <f>SUM(D9:D11)</f>
        <v>126857.48999999999</v>
      </c>
      <c r="E12" s="293">
        <f>SUM(E9:E11)</f>
        <v>0</v>
      </c>
      <c r="F12" s="214">
        <f>SUM(F9:F11)</f>
        <v>1539921.66</v>
      </c>
      <c r="G12" s="158"/>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row>
    <row r="13" spans="2:37" s="70" customFormat="1" ht="15" customHeight="1" thickTop="1">
      <c r="B13" s="208"/>
      <c r="C13" s="208"/>
      <c r="D13" s="208"/>
      <c r="E13" s="31"/>
      <c r="F13" s="62"/>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row>
    <row r="14" spans="1:37" s="70" customFormat="1" ht="30" customHeight="1">
      <c r="A14" s="294" t="s">
        <v>201</v>
      </c>
      <c r="B14" s="208"/>
      <c r="C14" s="208"/>
      <c r="D14" s="208"/>
      <c r="E14" s="31"/>
      <c r="F14" s="158"/>
      <c r="G14" s="31"/>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row>
    <row r="15" spans="1:37" s="70" customFormat="1" ht="15" customHeight="1">
      <c r="A15" s="54" t="s">
        <v>6</v>
      </c>
      <c r="B15" s="208">
        <f>'[2]Unpaid Loss Expense Reserves-14'!B22</f>
        <v>41018.259999999995</v>
      </c>
      <c r="C15" s="208">
        <f>'[2]Unpaid Loss Expense Reserves-14'!C22</f>
        <v>34244.11</v>
      </c>
      <c r="D15" s="208">
        <f>'[2]Unpaid Loss Expense Reserves-14'!D22</f>
        <v>31637.39</v>
      </c>
      <c r="E15" s="158">
        <v>0</v>
      </c>
      <c r="F15" s="31">
        <f>SUM(B15:E15)-1</f>
        <v>106898.76</v>
      </c>
      <c r="G15" s="31"/>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row>
    <row r="16" spans="1:37" s="70" customFormat="1" ht="15" customHeight="1">
      <c r="A16" s="70" t="s">
        <v>7</v>
      </c>
      <c r="B16" s="208">
        <f>'[2]Unpaid Loss Expense Reserves-14'!B23</f>
        <v>164053.54</v>
      </c>
      <c r="C16" s="208">
        <f>'[2]Unpaid Loss Expense Reserves-14'!C23</f>
        <v>108649.31</v>
      </c>
      <c r="D16" s="158">
        <f>'[2]Unpaid Loss Expense Reserves-14'!D23</f>
        <v>0</v>
      </c>
      <c r="E16" s="158">
        <v>0</v>
      </c>
      <c r="F16" s="31">
        <f>SUM(B16:E16)</f>
        <v>272702.85</v>
      </c>
      <c r="G16" s="31"/>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row>
    <row r="17" spans="1:37" s="70" customFormat="1" ht="15" customHeight="1">
      <c r="A17" s="70" t="s">
        <v>8</v>
      </c>
      <c r="B17" s="158">
        <f>'[2]Unpaid Loss Expense Reserves-14'!B24</f>
        <v>0</v>
      </c>
      <c r="C17" s="158">
        <f>'[2]Unpaid Loss Expense Reserves-14'!C24</f>
        <v>0</v>
      </c>
      <c r="D17" s="158">
        <f>'[2]Unpaid Loss Expense Reserves-14'!D24</f>
        <v>0</v>
      </c>
      <c r="E17" s="158">
        <v>0</v>
      </c>
      <c r="F17" s="158">
        <f>SUM(B17:E17)</f>
        <v>0</v>
      </c>
      <c r="G17" s="31"/>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row>
    <row r="18" spans="1:37" s="70" customFormat="1" ht="15" customHeight="1" thickBot="1">
      <c r="A18" s="291" t="s">
        <v>155</v>
      </c>
      <c r="B18" s="292">
        <f>SUM(B15:B17)</f>
        <v>205071.8</v>
      </c>
      <c r="C18" s="292">
        <f>SUM(C15:C17)</f>
        <v>142893.41999999998</v>
      </c>
      <c r="D18" s="292">
        <f>SUM(D15:D17)</f>
        <v>31637.39</v>
      </c>
      <c r="E18" s="293">
        <f>SUM(E15:E17)</f>
        <v>0</v>
      </c>
      <c r="F18" s="214">
        <f>SUM(F15:F17)</f>
        <v>379601.61</v>
      </c>
      <c r="G18" s="158"/>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row>
    <row r="19" spans="2:37" s="70" customFormat="1" ht="15" customHeight="1" thickTop="1">
      <c r="B19" s="208"/>
      <c r="C19" s="208"/>
      <c r="D19" s="208"/>
      <c r="E19" s="31"/>
      <c r="F19" s="62"/>
      <c r="G19" s="295"/>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row>
    <row r="20" spans="1:37" s="70" customFormat="1" ht="30" customHeight="1">
      <c r="A20" s="294" t="s">
        <v>185</v>
      </c>
      <c r="B20" s="211"/>
      <c r="C20" s="211"/>
      <c r="D20" s="211"/>
      <c r="E20" s="296"/>
      <c r="F20" s="158"/>
      <c r="G20" s="31"/>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row>
    <row r="21" spans="1:37" s="70" customFormat="1" ht="15" customHeight="1">
      <c r="A21" s="54" t="s">
        <v>6</v>
      </c>
      <c r="B21" s="158">
        <v>0</v>
      </c>
      <c r="C21" s="208">
        <v>242224.96</v>
      </c>
      <c r="D21" s="208">
        <v>84848.75</v>
      </c>
      <c r="E21" s="208">
        <v>34469.259999999995</v>
      </c>
      <c r="F21" s="31">
        <f>SUM(B21:E21)</f>
        <v>361542.97</v>
      </c>
      <c r="G21" s="31"/>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row>
    <row r="22" spans="1:37" s="70" customFormat="1" ht="15" customHeight="1">
      <c r="A22" s="70" t="s">
        <v>9</v>
      </c>
      <c r="B22" s="158">
        <v>0</v>
      </c>
      <c r="C22" s="208">
        <v>81141.23999999999</v>
      </c>
      <c r="D22" s="208">
        <v>45538.56</v>
      </c>
      <c r="E22" s="31">
        <v>4285.37</v>
      </c>
      <c r="F22" s="31">
        <f>SUM(B22:E22)</f>
        <v>130965.16999999998</v>
      </c>
      <c r="G22" s="31"/>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row>
    <row r="23" spans="1:37" s="70" customFormat="1" ht="15" customHeight="1">
      <c r="A23" s="70" t="s">
        <v>8</v>
      </c>
      <c r="B23" s="158">
        <v>0</v>
      </c>
      <c r="C23" s="158">
        <v>0</v>
      </c>
      <c r="D23" s="158">
        <v>0</v>
      </c>
      <c r="E23" s="158">
        <v>0</v>
      </c>
      <c r="F23" s="158">
        <f>SUM(B23:E23)</f>
        <v>0</v>
      </c>
      <c r="G23" s="31"/>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row>
    <row r="24" spans="1:37" s="70" customFormat="1" ht="15" customHeight="1" thickBot="1">
      <c r="A24" s="291" t="s">
        <v>155</v>
      </c>
      <c r="B24" s="293">
        <f>SUM(B21:B23)</f>
        <v>0</v>
      </c>
      <c r="C24" s="292">
        <f>SUM(C21:C23)</f>
        <v>323366.19999999995</v>
      </c>
      <c r="D24" s="292">
        <f>SUM(D21:D23)+1</f>
        <v>130388.31</v>
      </c>
      <c r="E24" s="292">
        <f>SUM(E21:E23)-1</f>
        <v>38753.63</v>
      </c>
      <c r="F24" s="214">
        <f>SUM(F21:F23)</f>
        <v>492508.13999999996</v>
      </c>
      <c r="G24" s="158"/>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row>
    <row r="25" spans="2:37" s="297" customFormat="1" ht="15" customHeight="1" thickTop="1">
      <c r="B25" s="211"/>
      <c r="C25" s="211"/>
      <c r="D25" s="211"/>
      <c r="E25" s="211"/>
      <c r="F25" s="211"/>
      <c r="G25" s="298"/>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row>
    <row r="26" spans="1:37" s="70" customFormat="1" ht="30" customHeight="1">
      <c r="A26" s="294" t="s">
        <v>184</v>
      </c>
      <c r="B26" s="208"/>
      <c r="C26" s="208"/>
      <c r="D26" s="208"/>
      <c r="E26" s="208"/>
      <c r="F26" s="208"/>
      <c r="G26" s="31"/>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row>
    <row r="27" spans="1:37" s="70" customFormat="1" ht="15" customHeight="1">
      <c r="A27" s="70" t="s">
        <v>6</v>
      </c>
      <c r="B27" s="31">
        <f aca="true" t="shared" si="0" ref="B27:E29">B9+B15-B21</f>
        <v>227626.91000000003</v>
      </c>
      <c r="C27" s="300">
        <f t="shared" si="0"/>
        <v>251918.69999999998</v>
      </c>
      <c r="D27" s="300">
        <f>D9+D15-D21-1</f>
        <v>22901.940000000002</v>
      </c>
      <c r="E27" s="300">
        <f t="shared" si="0"/>
        <v>-34469.259999999995</v>
      </c>
      <c r="F27" s="300">
        <f>SUM(B27:E27)+1</f>
        <v>467979.29</v>
      </c>
      <c r="G27" s="31"/>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row>
    <row r="28" spans="1:37" s="70" customFormat="1" ht="15" customHeight="1">
      <c r="A28" s="70" t="s">
        <v>7</v>
      </c>
      <c r="B28" s="31">
        <f t="shared" si="0"/>
        <v>611396.54</v>
      </c>
      <c r="C28" s="300">
        <f t="shared" si="0"/>
        <v>346591.14999999997</v>
      </c>
      <c r="D28" s="300">
        <f>D10+D16-D22-1</f>
        <v>5203.629999999997</v>
      </c>
      <c r="E28" s="300">
        <f t="shared" si="0"/>
        <v>-4285.37</v>
      </c>
      <c r="F28" s="300">
        <f>SUM(B28:E28)+1</f>
        <v>958906.95</v>
      </c>
      <c r="G28" s="31"/>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row>
    <row r="29" spans="1:37" s="70" customFormat="1" ht="15" customHeight="1">
      <c r="A29" s="70" t="s">
        <v>8</v>
      </c>
      <c r="B29" s="158">
        <f t="shared" si="0"/>
        <v>0</v>
      </c>
      <c r="C29" s="300">
        <f t="shared" si="0"/>
        <v>129.89</v>
      </c>
      <c r="D29" s="158">
        <f t="shared" si="0"/>
        <v>0</v>
      </c>
      <c r="E29" s="158">
        <f t="shared" si="0"/>
        <v>0</v>
      </c>
      <c r="F29" s="31">
        <f>SUM(B29:E29)</f>
        <v>129.89</v>
      </c>
      <c r="G29" s="31"/>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row>
    <row r="30" spans="1:37" ht="15" customHeight="1" thickBot="1">
      <c r="A30" s="46" t="s">
        <v>155</v>
      </c>
      <c r="B30" s="301">
        <f>SUM(B27:B29)+1</f>
        <v>839024.4500000001</v>
      </c>
      <c r="C30" s="301">
        <f>SUM(C27:C29)</f>
        <v>598639.74</v>
      </c>
      <c r="D30" s="301">
        <f>SUM(D27:D29)</f>
        <v>28105.57</v>
      </c>
      <c r="E30" s="301">
        <f>SUM(E27:E29)+1</f>
        <v>-38753.63</v>
      </c>
      <c r="F30" s="301">
        <f>SUM(F27:F29)</f>
        <v>1427016.13</v>
      </c>
      <c r="G30" s="31"/>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row>
    <row r="31" spans="2:38" ht="15" customHeight="1" thickTop="1">
      <c r="B31" s="209"/>
      <c r="C31" s="209"/>
      <c r="D31" s="209"/>
      <c r="F31" s="31"/>
      <c r="H31" s="302"/>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row>
    <row r="32" spans="2:38" s="62" customFormat="1" ht="15" customHeight="1">
      <c r="B32" s="209"/>
      <c r="C32" s="209"/>
      <c r="D32" s="209"/>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2:38" ht="15" customHeight="1">
      <c r="B33" s="209"/>
      <c r="C33" s="209"/>
      <c r="D33" s="209"/>
      <c r="F33" s="31"/>
      <c r="G33" s="31"/>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row>
    <row r="34" spans="2:38" ht="15" customHeight="1">
      <c r="B34" s="209"/>
      <c r="C34" s="209"/>
      <c r="D34" s="209"/>
      <c r="F34" s="31"/>
      <c r="G34" s="31"/>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row>
    <row r="35" spans="2:38" ht="15" customHeight="1">
      <c r="B35" s="209"/>
      <c r="C35" s="209"/>
      <c r="D35" s="209"/>
      <c r="F35" s="31"/>
      <c r="G35" s="31"/>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row>
    <row r="36" spans="2:38" ht="15" customHeight="1">
      <c r="B36" s="209"/>
      <c r="C36" s="209"/>
      <c r="D36" s="209"/>
      <c r="F36" s="31"/>
      <c r="G36" s="31"/>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row>
    <row r="37" spans="2:38" ht="15" customHeight="1">
      <c r="B37" s="209"/>
      <c r="C37" s="209"/>
      <c r="D37" s="209"/>
      <c r="F37" s="31"/>
      <c r="G37" s="31"/>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row>
    <row r="38" spans="6:38" ht="15" customHeight="1">
      <c r="F38" s="31"/>
      <c r="G38" s="31"/>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row>
    <row r="39" spans="6:38" ht="15" customHeight="1">
      <c r="F39" s="31"/>
      <c r="G39" s="31"/>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row>
    <row r="40" spans="6:38" ht="15" customHeight="1">
      <c r="F40" s="31"/>
      <c r="G40" s="31"/>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row>
    <row r="41" spans="6:38" ht="15" customHeight="1">
      <c r="F41" s="31"/>
      <c r="G41" s="31"/>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row>
    <row r="42" spans="6:38" ht="15" customHeight="1">
      <c r="F42" s="31"/>
      <c r="G42" s="31"/>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row>
    <row r="43" spans="6:38" ht="15" customHeight="1">
      <c r="F43" s="31"/>
      <c r="G43" s="31"/>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row>
    <row r="44" spans="6:38" ht="15" customHeight="1">
      <c r="F44" s="31"/>
      <c r="G44" s="31"/>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row>
    <row r="45" spans="6:38" ht="15" customHeight="1">
      <c r="F45" s="31"/>
      <c r="G45" s="31"/>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row>
    <row r="46" spans="6:38" ht="15" customHeight="1">
      <c r="F46" s="31"/>
      <c r="G46" s="31"/>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row>
    <row r="47" spans="6:38" ht="15" customHeight="1">
      <c r="F47" s="31"/>
      <c r="G47" s="31"/>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row>
    <row r="48" spans="6:38" ht="15" customHeight="1">
      <c r="F48" s="31"/>
      <c r="G48" s="31"/>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row>
    <row r="49" spans="6:38" s="54" customFormat="1" ht="15" customHeight="1">
      <c r="F49" s="31"/>
      <c r="G49" s="31"/>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row>
    <row r="50" spans="6:38" s="54" customFormat="1" ht="15" customHeight="1">
      <c r="F50" s="31"/>
      <c r="G50" s="31"/>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row>
    <row r="51" spans="6:38" s="54" customFormat="1" ht="15" customHeight="1">
      <c r="F51" s="31"/>
      <c r="G51" s="31"/>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row>
    <row r="52" spans="6:38" s="54" customFormat="1" ht="15" customHeight="1">
      <c r="F52" s="31"/>
      <c r="G52" s="31"/>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row>
    <row r="53" spans="6:38" s="54" customFormat="1" ht="15" customHeight="1">
      <c r="F53" s="31"/>
      <c r="G53" s="31"/>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row>
    <row r="54" spans="6:38" s="54" customFormat="1" ht="15" customHeight="1">
      <c r="F54" s="31"/>
      <c r="G54" s="31"/>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row>
    <row r="55" spans="6:38" s="54" customFormat="1" ht="15" customHeight="1">
      <c r="F55" s="31"/>
      <c r="G55" s="31"/>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row>
    <row r="56" spans="6:38" s="54" customFormat="1" ht="15" customHeight="1">
      <c r="F56" s="31"/>
      <c r="G56" s="31"/>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row>
    <row r="57" spans="6:38" s="54" customFormat="1" ht="15" customHeight="1">
      <c r="F57" s="31"/>
      <c r="G57" s="31"/>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row>
    <row r="58" spans="6:38" s="54" customFormat="1" ht="15" customHeight="1">
      <c r="F58" s="31"/>
      <c r="G58" s="31"/>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row>
    <row r="59" spans="6:38" s="54" customFormat="1" ht="15" customHeight="1">
      <c r="F59" s="31"/>
      <c r="G59" s="31"/>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row>
    <row r="60" spans="6:38" s="54" customFormat="1" ht="15" customHeight="1">
      <c r="F60" s="31"/>
      <c r="G60" s="31"/>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row>
    <row r="61" spans="6:38" s="54" customFormat="1" ht="15" customHeight="1">
      <c r="F61" s="31"/>
      <c r="G61" s="31"/>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row>
    <row r="62" spans="6:38" s="54" customFormat="1" ht="15" customHeight="1">
      <c r="F62" s="31"/>
      <c r="G62" s="31"/>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row>
    <row r="63" spans="6:38" s="54" customFormat="1" ht="15" customHeight="1">
      <c r="F63" s="31"/>
      <c r="G63" s="31"/>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row>
    <row r="64" spans="6:38" s="54" customFormat="1" ht="15" customHeight="1">
      <c r="F64" s="31"/>
      <c r="G64" s="31"/>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row>
    <row r="65" spans="6:38" s="54" customFormat="1" ht="15" customHeight="1">
      <c r="F65" s="31"/>
      <c r="G65" s="31"/>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row>
    <row r="66" spans="6:38" s="54" customFormat="1" ht="15" customHeight="1">
      <c r="F66" s="31"/>
      <c r="G66" s="31"/>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row>
    <row r="67" spans="6:38" s="54" customFormat="1" ht="15" customHeight="1">
      <c r="F67" s="31"/>
      <c r="G67" s="31"/>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row>
    <row r="68" spans="6:38" s="54" customFormat="1" ht="15" customHeight="1">
      <c r="F68" s="31"/>
      <c r="G68" s="31"/>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row>
    <row r="69" spans="6:38" s="54" customFormat="1" ht="15" customHeight="1">
      <c r="F69" s="31"/>
      <c r="G69" s="31"/>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row>
    <row r="70" spans="6:38" s="54" customFormat="1" ht="15" customHeight="1">
      <c r="F70" s="31"/>
      <c r="G70" s="31"/>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row>
    <row r="71" spans="6:38" s="54" customFormat="1" ht="15" customHeight="1">
      <c r="F71" s="31"/>
      <c r="G71" s="31"/>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row>
    <row r="72" spans="6:38" s="54" customFormat="1" ht="15" customHeight="1">
      <c r="F72" s="31"/>
      <c r="G72" s="31"/>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row>
    <row r="73" spans="6:38" s="54" customFormat="1" ht="15" customHeight="1">
      <c r="F73" s="31"/>
      <c r="G73" s="31"/>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row>
    <row r="74" spans="6:38" s="54" customFormat="1" ht="15" customHeight="1">
      <c r="F74" s="31"/>
      <c r="G74" s="31"/>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row>
    <row r="75" spans="6:38" s="54" customFormat="1" ht="15" customHeight="1">
      <c r="F75" s="31"/>
      <c r="G75" s="31"/>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row>
    <row r="76" spans="6:38" s="54" customFormat="1" ht="15" customHeight="1">
      <c r="F76" s="31"/>
      <c r="G76" s="31"/>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row>
    <row r="77" spans="6:38" s="54" customFormat="1" ht="15" customHeight="1">
      <c r="F77" s="31"/>
      <c r="G77" s="31"/>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row>
    <row r="78" spans="6:38" s="54" customFormat="1" ht="15" customHeight="1">
      <c r="F78" s="31"/>
      <c r="G78" s="31"/>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row>
    <row r="79" spans="6:38" s="54" customFormat="1" ht="15" customHeight="1">
      <c r="F79" s="31"/>
      <c r="G79" s="31"/>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row>
  </sheetData>
  <sheetProtection/>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E1"/>
    </sheetView>
  </sheetViews>
  <sheetFormatPr defaultColWidth="15.7109375" defaultRowHeight="15" customHeight="1"/>
  <cols>
    <col min="1" max="1" width="45.7109375" style="54" customWidth="1"/>
    <col min="2" max="2" width="15.7109375" style="62" customWidth="1"/>
    <col min="3" max="3" width="19.140625" style="62" customWidth="1"/>
    <col min="4" max="4" width="15.7109375" style="54" customWidth="1"/>
    <col min="5" max="5" width="19.140625" style="54" customWidth="1"/>
    <col min="6" max="16384" width="15.7109375" style="54" customWidth="1"/>
  </cols>
  <sheetData>
    <row r="1" spans="1:5" s="46" customFormat="1" ht="30" customHeight="1">
      <c r="A1" s="314" t="s">
        <v>0</v>
      </c>
      <c r="B1" s="314"/>
      <c r="C1" s="314"/>
      <c r="D1" s="314"/>
      <c r="E1" s="314"/>
    </row>
    <row r="2" spans="1:3" s="47" customFormat="1" ht="15" customHeight="1">
      <c r="A2" s="315"/>
      <c r="B2" s="315"/>
      <c r="C2" s="315"/>
    </row>
    <row r="3" spans="1:5" s="48" customFormat="1" ht="15" customHeight="1">
      <c r="A3" s="318" t="s">
        <v>46</v>
      </c>
      <c r="B3" s="318"/>
      <c r="C3" s="318"/>
      <c r="D3" s="318"/>
      <c r="E3" s="318"/>
    </row>
    <row r="4" spans="1:5" s="48" customFormat="1" ht="15" customHeight="1">
      <c r="A4" s="319" t="s">
        <v>188</v>
      </c>
      <c r="B4" s="318"/>
      <c r="C4" s="318"/>
      <c r="D4" s="318"/>
      <c r="E4" s="318"/>
    </row>
    <row r="5" spans="1:3" s="48" customFormat="1" ht="15" customHeight="1">
      <c r="A5" s="49"/>
      <c r="B5" s="50"/>
      <c r="C5" s="50"/>
    </row>
    <row r="6" spans="1:5" ht="15" customHeight="1">
      <c r="A6" s="51"/>
      <c r="B6" s="52" t="s">
        <v>47</v>
      </c>
      <c r="C6" s="53"/>
      <c r="D6" s="52" t="s">
        <v>48</v>
      </c>
      <c r="E6" s="53"/>
    </row>
    <row r="7" spans="1:5" ht="15" customHeight="1">
      <c r="A7" s="51"/>
      <c r="B7" s="55"/>
      <c r="C7" s="56"/>
      <c r="D7" s="55"/>
      <c r="E7" s="56"/>
    </row>
    <row r="8" spans="1:5" ht="15" customHeight="1">
      <c r="A8" s="57" t="s">
        <v>49</v>
      </c>
      <c r="B8" s="55"/>
      <c r="C8" s="58"/>
      <c r="D8" s="55"/>
      <c r="E8" s="58"/>
    </row>
    <row r="9" spans="1:5" ht="15" customHeight="1">
      <c r="A9" s="57"/>
      <c r="B9" s="55"/>
      <c r="C9" s="58"/>
      <c r="D9" s="55"/>
      <c r="E9" s="58"/>
    </row>
    <row r="10" spans="1:5" ht="15" customHeight="1">
      <c r="A10" s="51" t="s">
        <v>50</v>
      </c>
      <c r="B10" s="59"/>
      <c r="C10" s="60">
        <f>'Earned Incurred QTD-5'!D16</f>
        <v>2797149.5599999996</v>
      </c>
      <c r="D10" s="59"/>
      <c r="E10" s="60">
        <f>'Earned Incurred YTD-6'!D16</f>
        <v>11191051.41</v>
      </c>
    </row>
    <row r="11" spans="1:5" ht="15" customHeight="1">
      <c r="A11" s="57"/>
      <c r="B11" s="59"/>
      <c r="C11" s="61"/>
      <c r="D11" s="59"/>
      <c r="E11" s="61"/>
    </row>
    <row r="12" spans="1:5" ht="15" customHeight="1">
      <c r="A12" s="57" t="s">
        <v>51</v>
      </c>
      <c r="B12" s="59"/>
      <c r="C12" s="61"/>
      <c r="D12" s="59"/>
      <c r="E12" s="61"/>
    </row>
    <row r="13" spans="1:5" ht="15" customHeight="1">
      <c r="A13" s="51" t="s">
        <v>52</v>
      </c>
      <c r="B13" s="62">
        <f>'Earned Incurred QTD-5'!D23</f>
        <v>10424638.9</v>
      </c>
      <c r="C13" s="61"/>
      <c r="D13" s="62">
        <f>'Earned Incurred YTD-6'!D23</f>
        <v>14531303.3</v>
      </c>
      <c r="E13" s="61"/>
    </row>
    <row r="14" spans="1:5" ht="15" customHeight="1">
      <c r="A14" s="51" t="s">
        <v>53</v>
      </c>
      <c r="B14" s="62">
        <f>'Earned Incurred QTD-5'!D30</f>
        <v>564579.74</v>
      </c>
      <c r="C14" s="61"/>
      <c r="D14" s="62">
        <f>'Earned Incurred YTD-6'!D30</f>
        <v>1427016.1300000001</v>
      </c>
      <c r="E14" s="61"/>
    </row>
    <row r="15" spans="1:5" ht="15" customHeight="1">
      <c r="A15" s="51" t="s">
        <v>54</v>
      </c>
      <c r="B15" s="62">
        <f>'Earned Incurred QTD-5'!C37</f>
        <v>232713.85000000003</v>
      </c>
      <c r="C15" s="61"/>
      <c r="D15" s="62">
        <f>'Earned Incurred YTD-6'!C37</f>
        <v>952836.6499999999</v>
      </c>
      <c r="E15" s="61"/>
    </row>
    <row r="16" spans="1:6" ht="15" customHeight="1">
      <c r="A16" s="51" t="s">
        <v>55</v>
      </c>
      <c r="B16" s="62">
        <f>'Earned Incurred QTD-5'!C38+'Earned Incurred QTD-5'!C39+'Earned Incurred QTD-5'!C43+1</f>
        <v>1147007.0999999994</v>
      </c>
      <c r="C16" s="61"/>
      <c r="D16" s="62">
        <f>'Earned Incurred YTD-6'!C38+'Earned Incurred YTD-6'!C39+'Earned Incurred YTD-6'!C43-1</f>
        <v>3823087.09</v>
      </c>
      <c r="E16" s="61"/>
      <c r="F16" s="63"/>
    </row>
    <row r="17" spans="1:5" ht="15" customHeight="1">
      <c r="A17" s="51" t="s">
        <v>56</v>
      </c>
      <c r="B17" s="64">
        <f>'Earned Incurred QTD-5'!D36</f>
        <v>8814</v>
      </c>
      <c r="C17" s="61"/>
      <c r="D17" s="64">
        <f>'Earned Incurred YTD-6'!D36</f>
        <v>49860.42</v>
      </c>
      <c r="E17" s="61"/>
    </row>
    <row r="18" spans="1:5" ht="15" customHeight="1">
      <c r="A18" s="51" t="s">
        <v>57</v>
      </c>
      <c r="B18" s="59"/>
      <c r="C18" s="65">
        <f>SUM(B13:B17)</f>
        <v>12377753.59</v>
      </c>
      <c r="D18" s="59"/>
      <c r="E18" s="65">
        <f>SUM(D13:D17)-1</f>
        <v>20784102.590000004</v>
      </c>
    </row>
    <row r="19" spans="1:5" ht="15" customHeight="1">
      <c r="A19" s="51"/>
      <c r="B19" s="59"/>
      <c r="C19" s="66"/>
      <c r="D19" s="59"/>
      <c r="E19" s="66"/>
    </row>
    <row r="20" spans="1:5" ht="15" customHeight="1">
      <c r="A20" s="51" t="s">
        <v>58</v>
      </c>
      <c r="B20" s="59"/>
      <c r="C20" s="67">
        <f>C10-C18</f>
        <v>-9580604.030000001</v>
      </c>
      <c r="D20" s="59"/>
      <c r="E20" s="67">
        <f>E10-E18-1</f>
        <v>-9593052.180000003</v>
      </c>
    </row>
    <row r="21" spans="1:5" ht="15" customHeight="1">
      <c r="A21" s="57"/>
      <c r="B21" s="59"/>
      <c r="C21" s="66"/>
      <c r="D21" s="59"/>
      <c r="E21" s="66"/>
    </row>
    <row r="22" spans="1:5" ht="15" customHeight="1">
      <c r="A22" s="57" t="s">
        <v>59</v>
      </c>
      <c r="B22" s="59"/>
      <c r="C22" s="66"/>
      <c r="D22" s="59"/>
      <c r="E22" s="66"/>
    </row>
    <row r="23" spans="1:5" ht="15" customHeight="1">
      <c r="A23" s="51" t="s">
        <v>60</v>
      </c>
      <c r="B23" s="62">
        <f>'Earned Incurred QTD-5'!D52</f>
        <v>25024.350000000006</v>
      </c>
      <c r="C23" s="66"/>
      <c r="D23" s="68">
        <f>'Earned Incurred YTD-6'!D52</f>
        <v>67310.81999999999</v>
      </c>
      <c r="E23" s="66"/>
    </row>
    <row r="24" spans="1:5" ht="15" customHeight="1">
      <c r="A24" s="51" t="s">
        <v>206</v>
      </c>
      <c r="B24" s="69">
        <f>'Earned Incurred QTD-5'!D53</f>
        <v>2179.65</v>
      </c>
      <c r="C24" s="66"/>
      <c r="D24" s="69">
        <f>'Earned Incurred YTD-6'!D53</f>
        <v>11064.85</v>
      </c>
      <c r="E24" s="66"/>
    </row>
    <row r="25" spans="1:5" ht="15" customHeight="1">
      <c r="A25" s="51" t="s">
        <v>61</v>
      </c>
      <c r="B25" s="59"/>
      <c r="C25" s="65">
        <f>SUM(B23:B24)</f>
        <v>27204.000000000007</v>
      </c>
      <c r="D25" s="59"/>
      <c r="E25" s="65">
        <f>SUM(D23:D24)</f>
        <v>78375.67</v>
      </c>
    </row>
    <row r="26" spans="1:5" ht="15" customHeight="1">
      <c r="A26" s="51"/>
      <c r="B26" s="59"/>
      <c r="C26" s="66"/>
      <c r="D26" s="59"/>
      <c r="E26" s="66"/>
    </row>
    <row r="27" spans="1:5" ht="15" customHeight="1">
      <c r="A27" s="57" t="s">
        <v>62</v>
      </c>
      <c r="B27" s="59"/>
      <c r="C27" s="66"/>
      <c r="D27" s="59"/>
      <c r="E27" s="66"/>
    </row>
    <row r="28" spans="1:5" ht="15" customHeight="1">
      <c r="A28" s="51" t="s">
        <v>63</v>
      </c>
      <c r="B28" s="62">
        <f>-'[1]4Q12 Trial Balance'!C259</f>
        <v>154.02</v>
      </c>
      <c r="C28" s="66"/>
      <c r="D28" s="62">
        <f>-'[1]4Q12 Trial Balance'!E259</f>
        <v>815.82</v>
      </c>
      <c r="E28" s="66"/>
    </row>
    <row r="29" spans="1:5" ht="15" customHeight="1">
      <c r="A29" s="51" t="s">
        <v>64</v>
      </c>
      <c r="B29" s="69">
        <f>-'[1]4Q12 Trial Balance'!C260</f>
        <v>5319.35</v>
      </c>
      <c r="C29" s="66"/>
      <c r="D29" s="69">
        <f>-'[1]4Q12 Trial Balance'!E260</f>
        <v>21560.96</v>
      </c>
      <c r="E29" s="66"/>
    </row>
    <row r="30" spans="1:6" ht="15" customHeight="1">
      <c r="A30" s="51" t="s">
        <v>65</v>
      </c>
      <c r="B30" s="59"/>
      <c r="C30" s="65">
        <f>SUM(B28:B29)</f>
        <v>5473.370000000001</v>
      </c>
      <c r="D30" s="59"/>
      <c r="E30" s="65">
        <f>SUM(D28:D29)</f>
        <v>22376.78</v>
      </c>
      <c r="F30" s="70"/>
    </row>
    <row r="31" spans="1:5" ht="15" customHeight="1">
      <c r="A31" s="51"/>
      <c r="B31" s="59"/>
      <c r="C31" s="66"/>
      <c r="D31" s="59"/>
      <c r="E31" s="66"/>
    </row>
    <row r="32" spans="1:5" ht="15" customHeight="1" thickBot="1">
      <c r="A32" s="51" t="s">
        <v>207</v>
      </c>
      <c r="B32" s="59"/>
      <c r="C32" s="71">
        <f>C20+C25+C30</f>
        <v>-9547926.660000002</v>
      </c>
      <c r="D32" s="59"/>
      <c r="E32" s="71">
        <f>E20+E25+E30+1</f>
        <v>-9492298.730000004</v>
      </c>
    </row>
    <row r="33" spans="1:5" ht="15" customHeight="1">
      <c r="A33" s="57"/>
      <c r="B33" s="59"/>
      <c r="C33" s="72"/>
      <c r="D33" s="59"/>
      <c r="E33" s="72"/>
    </row>
    <row r="34" spans="1:5" ht="15" customHeight="1">
      <c r="A34" s="57" t="s">
        <v>44</v>
      </c>
      <c r="B34" s="59"/>
      <c r="C34" s="66"/>
      <c r="D34" s="59"/>
      <c r="E34" s="66"/>
    </row>
    <row r="35" spans="1:6" ht="15" customHeight="1">
      <c r="A35" s="51" t="s">
        <v>66</v>
      </c>
      <c r="B35" s="68"/>
      <c r="C35" s="67">
        <v>-4724053.899999993</v>
      </c>
      <c r="D35" s="59"/>
      <c r="E35" s="67">
        <v>-4908696.019999995</v>
      </c>
      <c r="F35" s="70"/>
    </row>
    <row r="36" spans="1:5" ht="15" customHeight="1">
      <c r="A36" s="51" t="s">
        <v>208</v>
      </c>
      <c r="B36" s="68">
        <f>C32</f>
        <v>-9547926.660000002</v>
      </c>
      <c r="C36" s="66"/>
      <c r="D36" s="68">
        <f>E32</f>
        <v>-9492298.730000004</v>
      </c>
      <c r="E36" s="66"/>
    </row>
    <row r="37" spans="1:6" s="306" customFormat="1" ht="15" customHeight="1">
      <c r="A37" s="306" t="s">
        <v>203</v>
      </c>
      <c r="B37" s="68">
        <f>-'[1]4Q12 Trial Balance'!C187</f>
        <v>-285918</v>
      </c>
      <c r="C37" s="62"/>
      <c r="D37" s="307">
        <v>-285918</v>
      </c>
      <c r="E37" s="66"/>
      <c r="F37" s="305"/>
    </row>
    <row r="38" spans="1:6" ht="15" customHeight="1">
      <c r="A38" s="51" t="s">
        <v>67</v>
      </c>
      <c r="B38" s="68">
        <f>-'[1]4Q12 Trial Balance'!$C$189</f>
        <v>56357.84</v>
      </c>
      <c r="C38" s="66"/>
      <c r="D38" s="68">
        <v>148644.98</v>
      </c>
      <c r="E38" s="66"/>
      <c r="F38" s="63"/>
    </row>
    <row r="39" spans="1:6" ht="15" customHeight="1">
      <c r="A39" s="51" t="s">
        <v>209</v>
      </c>
      <c r="B39" s="69">
        <f>-'[1]4Q12 Trial Balance'!$C$185</f>
        <v>-9531.95</v>
      </c>
      <c r="C39" s="66"/>
      <c r="D39" s="69">
        <v>27195.1</v>
      </c>
      <c r="E39" s="66"/>
      <c r="F39" s="63"/>
    </row>
    <row r="40" spans="3:7" ht="14.25">
      <c r="C40" s="66"/>
      <c r="D40" s="62"/>
      <c r="E40" s="66"/>
      <c r="F40" s="62"/>
      <c r="G40" s="62"/>
    </row>
    <row r="41" spans="1:7" ht="15" customHeight="1">
      <c r="A41" s="51" t="s">
        <v>68</v>
      </c>
      <c r="C41" s="67">
        <f>SUM(B35:B39)</f>
        <v>-9787018.770000001</v>
      </c>
      <c r="D41" s="62"/>
      <c r="E41" s="67">
        <f>SUM(D35:D39)</f>
        <v>-9602376.650000004</v>
      </c>
      <c r="F41" s="62"/>
      <c r="G41" s="63"/>
    </row>
    <row r="42" spans="1:6" ht="15" customHeight="1">
      <c r="A42" s="51"/>
      <c r="C42" s="73"/>
      <c r="D42" s="62"/>
      <c r="E42" s="73"/>
      <c r="F42" s="62"/>
    </row>
    <row r="43" spans="1:5" ht="15" customHeight="1" thickBot="1">
      <c r="A43" s="74" t="s">
        <v>189</v>
      </c>
      <c r="B43" s="59"/>
      <c r="C43" s="75">
        <f>C35+C41</f>
        <v>-14511072.669999994</v>
      </c>
      <c r="D43" s="59"/>
      <c r="E43" s="75">
        <f>E35+E41</f>
        <v>-14511072.669999998</v>
      </c>
    </row>
    <row r="44" spans="1:5" ht="15" customHeight="1" thickTop="1">
      <c r="A44" s="76"/>
      <c r="D44" s="62"/>
      <c r="E44" s="62"/>
    </row>
    <row r="45" spans="1:5" ht="15" customHeight="1">
      <c r="A45" s="76"/>
      <c r="D45" s="62"/>
      <c r="E45" s="62"/>
    </row>
    <row r="46" s="62" customFormat="1" ht="15" customHeight="1"/>
  </sheetData>
  <sheetProtection/>
  <mergeCells count="4">
    <mergeCell ref="A1:E1"/>
    <mergeCell ref="A2:C2"/>
    <mergeCell ref="A3:E3"/>
    <mergeCell ref="A4:E4"/>
  </mergeCells>
  <printOptions horizontalCentered="1"/>
  <pageMargins left="0.25" right="0.25" top="0.5" bottom="0.5" header="0.25" footer="0.25"/>
  <pageSetup orientation="portrait" scale="80"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I90"/>
  <sheetViews>
    <sheetView zoomScalePageLayoutView="0" workbookViewId="0" topLeftCell="A1">
      <selection activeCell="A1" sqref="A1:F1"/>
    </sheetView>
  </sheetViews>
  <sheetFormatPr defaultColWidth="15.7109375" defaultRowHeight="15" customHeight="1"/>
  <cols>
    <col min="1" max="1" width="45.7109375" style="120" customWidth="1"/>
    <col min="2" max="3" width="15.7109375" style="121" customWidth="1"/>
    <col min="4" max="5" width="15.7109375" style="122" customWidth="1"/>
    <col min="6" max="6" width="15.7109375" style="123" customWidth="1"/>
    <col min="7" max="16384" width="15.7109375" style="120" customWidth="1"/>
  </cols>
  <sheetData>
    <row r="1" spans="1:6" s="77" customFormat="1" ht="30" customHeight="1">
      <c r="A1" s="320" t="s">
        <v>0</v>
      </c>
      <c r="B1" s="320"/>
      <c r="C1" s="320"/>
      <c r="D1" s="320"/>
      <c r="E1" s="320"/>
      <c r="F1" s="320"/>
    </row>
    <row r="2" spans="1:6" s="78" customFormat="1" ht="15" customHeight="1">
      <c r="A2" s="321"/>
      <c r="B2" s="321"/>
      <c r="C2" s="321"/>
      <c r="D2" s="321"/>
      <c r="E2" s="321"/>
      <c r="F2" s="321"/>
    </row>
    <row r="3" spans="1:6" s="79" customFormat="1" ht="15" customHeight="1">
      <c r="A3" s="322" t="s">
        <v>70</v>
      </c>
      <c r="B3" s="322"/>
      <c r="C3" s="322"/>
      <c r="D3" s="322"/>
      <c r="E3" s="322"/>
      <c r="F3" s="322"/>
    </row>
    <row r="4" spans="1:6" s="79" customFormat="1" ht="15" customHeight="1">
      <c r="A4" s="322" t="s">
        <v>190</v>
      </c>
      <c r="B4" s="322"/>
      <c r="C4" s="322"/>
      <c r="D4" s="322"/>
      <c r="E4" s="322"/>
      <c r="F4" s="322"/>
    </row>
    <row r="5" spans="1:6" s="85" customFormat="1" ht="15" customHeight="1">
      <c r="A5" s="80"/>
      <c r="B5" s="81"/>
      <c r="C5" s="81"/>
      <c r="D5" s="82"/>
      <c r="E5" s="83"/>
      <c r="F5" s="84"/>
    </row>
    <row r="6" spans="1:6" s="89" customFormat="1" ht="30" customHeight="1">
      <c r="A6" s="86"/>
      <c r="B6" s="87" t="s">
        <v>1</v>
      </c>
      <c r="C6" s="87" t="s">
        <v>2</v>
      </c>
      <c r="D6" s="87" t="s">
        <v>3</v>
      </c>
      <c r="E6" s="87" t="s">
        <v>4</v>
      </c>
      <c r="F6" s="88" t="s">
        <v>5</v>
      </c>
    </row>
    <row r="7" spans="1:6" s="93" customFormat="1" ht="15" customHeight="1">
      <c r="A7" s="90" t="s">
        <v>71</v>
      </c>
      <c r="B7" s="91"/>
      <c r="C7" s="91"/>
      <c r="D7" s="92"/>
      <c r="E7" s="92"/>
      <c r="F7" s="92"/>
    </row>
    <row r="8" spans="1:6" s="98" customFormat="1" ht="15" customHeight="1">
      <c r="A8" s="94" t="s">
        <v>72</v>
      </c>
      <c r="B8" s="95">
        <f>'Premiums QTD-7'!B12</f>
        <v>2687235</v>
      </c>
      <c r="C8" s="95">
        <f>'Premiums QTD-7'!C12</f>
        <v>-2371</v>
      </c>
      <c r="D8" s="96">
        <f>'Premiums QTD-7'!D12</f>
        <v>0</v>
      </c>
      <c r="E8" s="96">
        <f>'Premiums QTD-7'!E12</f>
        <v>0</v>
      </c>
      <c r="F8" s="97">
        <f>SUM(B8:E8)</f>
        <v>2684864</v>
      </c>
    </row>
    <row r="9" spans="1:8" s="98" customFormat="1" ht="15" customHeight="1">
      <c r="A9" s="98" t="s">
        <v>64</v>
      </c>
      <c r="B9" s="99">
        <f>'Earned Incurred QTD-5'!D55</f>
        <v>5473.370000000001</v>
      </c>
      <c r="C9" s="96">
        <v>0</v>
      </c>
      <c r="D9" s="96">
        <v>0</v>
      </c>
      <c r="E9" s="96">
        <v>0</v>
      </c>
      <c r="F9" s="100">
        <f>SUM(B9:E9)</f>
        <v>5473.370000000001</v>
      </c>
      <c r="G9" s="101"/>
      <c r="H9" s="102"/>
    </row>
    <row r="10" spans="1:6" s="98" customFormat="1" ht="15" customHeight="1">
      <c r="A10" s="94" t="s">
        <v>73</v>
      </c>
      <c r="B10" s="99">
        <f>'Earned Incurred QTD-5'!C48</f>
        <v>25328.340000000004</v>
      </c>
      <c r="C10" s="96">
        <v>0</v>
      </c>
      <c r="D10" s="96">
        <v>0</v>
      </c>
      <c r="E10" s="96">
        <v>0</v>
      </c>
      <c r="F10" s="100">
        <f>SUM(B10:E10)</f>
        <v>25328.340000000004</v>
      </c>
    </row>
    <row r="11" spans="1:8" s="98" customFormat="1" ht="15" customHeight="1">
      <c r="A11" s="94" t="s">
        <v>102</v>
      </c>
      <c r="B11" s="99">
        <f>'Earned Incurred QTD-5'!D53</f>
        <v>2179.65</v>
      </c>
      <c r="C11" s="96">
        <v>0</v>
      </c>
      <c r="D11" s="96">
        <v>0</v>
      </c>
      <c r="E11" s="96">
        <v>0</v>
      </c>
      <c r="F11" s="99">
        <f>SUM(B11:E11)</f>
        <v>2179.65</v>
      </c>
      <c r="G11" s="101"/>
      <c r="H11" s="102"/>
    </row>
    <row r="12" spans="1:6" s="98" customFormat="1" ht="15" customHeight="1" thickBot="1">
      <c r="A12" s="103" t="s">
        <v>74</v>
      </c>
      <c r="B12" s="104">
        <f>SUM(B8:B11)</f>
        <v>2720216.36</v>
      </c>
      <c r="C12" s="104">
        <f>SUM(C8:C11)</f>
        <v>-2371</v>
      </c>
      <c r="D12" s="105">
        <f>SUM(D8:D11)</f>
        <v>0</v>
      </c>
      <c r="E12" s="105">
        <f>SUM(E8:E11)</f>
        <v>0</v>
      </c>
      <c r="F12" s="106">
        <f>SUM(F8:F11)</f>
        <v>2717845.36</v>
      </c>
    </row>
    <row r="13" spans="1:6" s="98" customFormat="1" ht="15" customHeight="1" thickTop="1">
      <c r="A13" s="103"/>
      <c r="B13" s="107"/>
      <c r="C13" s="107"/>
      <c r="D13" s="107"/>
      <c r="E13" s="100"/>
      <c r="F13" s="100"/>
    </row>
    <row r="14" spans="1:6" s="98" customFormat="1" ht="15" customHeight="1">
      <c r="A14" s="90" t="s">
        <v>75</v>
      </c>
      <c r="B14" s="92"/>
      <c r="C14" s="92"/>
      <c r="D14" s="92"/>
      <c r="E14" s="108"/>
      <c r="F14" s="100"/>
    </row>
    <row r="15" spans="1:6" s="98" customFormat="1" ht="15" customHeight="1">
      <c r="A15" s="103" t="s">
        <v>76</v>
      </c>
      <c r="B15" s="99">
        <f>'Losses Incurred QTD-9'!B12</f>
        <v>2283824.56</v>
      </c>
      <c r="C15" s="99">
        <f>'Losses Incurred QTD-9'!C12</f>
        <v>694202.52</v>
      </c>
      <c r="D15" s="99">
        <f>'Losses Incurred QTD-9'!D12</f>
        <v>821.8800000000001</v>
      </c>
      <c r="E15" s="96">
        <f>'Losses Incurred QTD-9'!E12</f>
        <v>0</v>
      </c>
      <c r="F15" s="100">
        <f>SUM(B15:E15)+1</f>
        <v>2978849.96</v>
      </c>
    </row>
    <row r="16" spans="1:6" s="98" customFormat="1" ht="15" customHeight="1">
      <c r="A16" s="103" t="s">
        <v>77</v>
      </c>
      <c r="B16" s="99">
        <f>'[2]Loss Expenses Paid QTD-15'!C24</f>
        <v>328603.61</v>
      </c>
      <c r="C16" s="99">
        <f>'[2]Loss Expenses Paid QTD-15'!C18</f>
        <v>107081.52</v>
      </c>
      <c r="D16" s="99">
        <f>'[2]Loss Expenses Paid QTD-15'!C12</f>
        <v>1470.6</v>
      </c>
      <c r="E16" s="96">
        <v>0</v>
      </c>
      <c r="F16" s="100">
        <f>SUM(B16:E16)+1</f>
        <v>437156.73</v>
      </c>
    </row>
    <row r="17" spans="1:6" s="98" customFormat="1" ht="15" customHeight="1">
      <c r="A17" s="103" t="s">
        <v>78</v>
      </c>
      <c r="B17" s="99">
        <f>'[2]Loss Expenses Paid QTD-15'!I24</f>
        <v>142679.63</v>
      </c>
      <c r="C17" s="99">
        <f>'[2]Loss Expenses Paid QTD-15'!I18</f>
        <v>43390.53</v>
      </c>
      <c r="D17" s="99">
        <f>'[2]Loss Expenses Paid QTD-15'!I12</f>
        <v>119.38</v>
      </c>
      <c r="E17" s="96">
        <v>0</v>
      </c>
      <c r="F17" s="100">
        <f aca="true" t="shared" si="0" ref="F17:F23">SUM(B17:E17)</f>
        <v>186189.54</v>
      </c>
    </row>
    <row r="18" spans="1:6" s="98" customFormat="1" ht="15" customHeight="1">
      <c r="A18" s="103" t="s">
        <v>79</v>
      </c>
      <c r="B18" s="99">
        <f>'[1]4Q12 Trial Balance'!D375</f>
        <v>6718.53</v>
      </c>
      <c r="C18" s="96">
        <v>0</v>
      </c>
      <c r="D18" s="96">
        <v>0</v>
      </c>
      <c r="E18" s="96">
        <v>0</v>
      </c>
      <c r="F18" s="100">
        <f t="shared" si="0"/>
        <v>6718.53</v>
      </c>
    </row>
    <row r="19" spans="1:7" s="98" customFormat="1" ht="15" customHeight="1">
      <c r="A19" s="109" t="s">
        <v>80</v>
      </c>
      <c r="B19" s="99">
        <f>'[1]4Q12 Trial Balance'!D381</f>
        <v>20394.28</v>
      </c>
      <c r="C19" s="96">
        <v>0</v>
      </c>
      <c r="D19" s="96">
        <v>0</v>
      </c>
      <c r="E19" s="96">
        <v>0</v>
      </c>
      <c r="F19" s="100">
        <f t="shared" si="0"/>
        <v>20394.28</v>
      </c>
      <c r="G19" s="101"/>
    </row>
    <row r="20" spans="1:7" s="98" customFormat="1" ht="15" customHeight="1">
      <c r="A20" s="103" t="s">
        <v>81</v>
      </c>
      <c r="B20" s="99">
        <f>'[1]4Q12 Trial Balance'!D377</f>
        <v>4125</v>
      </c>
      <c r="C20" s="96">
        <v>0</v>
      </c>
      <c r="D20" s="96">
        <v>0</v>
      </c>
      <c r="E20" s="96">
        <v>0</v>
      </c>
      <c r="F20" s="100">
        <f t="shared" si="0"/>
        <v>4125</v>
      </c>
      <c r="G20" s="101"/>
    </row>
    <row r="21" spans="1:6" s="98" customFormat="1" ht="15" customHeight="1">
      <c r="A21" s="109" t="s">
        <v>82</v>
      </c>
      <c r="B21" s="99">
        <f>'[1]4Q12 Trial Balance'!D370</f>
        <v>232929.75</v>
      </c>
      <c r="C21" s="99">
        <f>'[1]4Q12 Trial Balance'!D366</f>
        <v>-215.9</v>
      </c>
      <c r="D21" s="96">
        <v>0</v>
      </c>
      <c r="E21" s="96">
        <v>0</v>
      </c>
      <c r="F21" s="100">
        <f t="shared" si="0"/>
        <v>232713.85</v>
      </c>
    </row>
    <row r="22" spans="1:7" s="98" customFormat="1" ht="15" customHeight="1">
      <c r="A22" s="103" t="s">
        <v>83</v>
      </c>
      <c r="B22" s="99">
        <f>'Earned Incurred QTD-5'!C39</f>
        <v>1069454.6499999994</v>
      </c>
      <c r="C22" s="96">
        <v>0</v>
      </c>
      <c r="D22" s="96">
        <v>0</v>
      </c>
      <c r="E22" s="96">
        <v>0</v>
      </c>
      <c r="F22" s="100">
        <f t="shared" si="0"/>
        <v>1069454.6499999994</v>
      </c>
      <c r="G22" s="101"/>
    </row>
    <row r="23" spans="1:7" s="98" customFormat="1" ht="15" customHeight="1">
      <c r="A23" s="103" t="s">
        <v>41</v>
      </c>
      <c r="B23" s="96">
        <v>0</v>
      </c>
      <c r="C23" s="96">
        <v>0</v>
      </c>
      <c r="D23" s="96">
        <v>0</v>
      </c>
      <c r="E23" s="96">
        <v>0</v>
      </c>
      <c r="F23" s="96">
        <f t="shared" si="0"/>
        <v>0</v>
      </c>
      <c r="G23" s="101"/>
    </row>
    <row r="24" spans="1:7" s="98" customFormat="1" ht="15" customHeight="1" thickBot="1">
      <c r="A24" s="103" t="s">
        <v>74</v>
      </c>
      <c r="B24" s="104">
        <f>SUM(B15:B23)+2</f>
        <v>4088732.009999999</v>
      </c>
      <c r="C24" s="104">
        <f>SUM(C15:C23)+1</f>
        <v>844459.67</v>
      </c>
      <c r="D24" s="104">
        <f>SUM(D15:D23)</f>
        <v>2411.86</v>
      </c>
      <c r="E24" s="105">
        <f>SUM(E15:E23)</f>
        <v>0</v>
      </c>
      <c r="F24" s="106">
        <f>SUM(F15:F23)+1</f>
        <v>4935603.539999999</v>
      </c>
      <c r="G24" s="103"/>
    </row>
    <row r="25" spans="1:6" s="98" customFormat="1" ht="15" customHeight="1" thickTop="1">
      <c r="A25" s="103"/>
      <c r="B25" s="107"/>
      <c r="C25" s="107"/>
      <c r="D25" s="107"/>
      <c r="E25" s="100"/>
      <c r="F25" s="100"/>
    </row>
    <row r="26" spans="1:6" s="98" customFormat="1" ht="15" customHeight="1" thickBot="1">
      <c r="A26" s="110" t="s">
        <v>84</v>
      </c>
      <c r="B26" s="111">
        <f>B12-B24</f>
        <v>-1368515.649999999</v>
      </c>
      <c r="C26" s="111">
        <f>C12-C24</f>
        <v>-846830.67</v>
      </c>
      <c r="D26" s="111">
        <f>D12-D24</f>
        <v>-2411.86</v>
      </c>
      <c r="E26" s="105">
        <f>E12-E24</f>
        <v>0</v>
      </c>
      <c r="F26" s="112">
        <f>SUM(B26:E26)-1</f>
        <v>-2217759.179999999</v>
      </c>
    </row>
    <row r="27" spans="1:6" s="98" customFormat="1" ht="15" customHeight="1" thickTop="1">
      <c r="A27" s="103"/>
      <c r="B27" s="107"/>
      <c r="C27" s="107"/>
      <c r="D27" s="107"/>
      <c r="E27" s="100"/>
      <c r="F27" s="100"/>
    </row>
    <row r="28" spans="1:6" s="98" customFormat="1" ht="15" customHeight="1">
      <c r="A28" s="90" t="s">
        <v>85</v>
      </c>
      <c r="B28" s="92"/>
      <c r="C28" s="92"/>
      <c r="D28" s="92"/>
      <c r="E28" s="108"/>
      <c r="F28" s="100"/>
    </row>
    <row r="29" spans="1:6" s="98" customFormat="1" ht="15" customHeight="1">
      <c r="A29" s="103" t="s">
        <v>86</v>
      </c>
      <c r="B29" s="99">
        <f>'Earned Incurred QTD-5'!B50</f>
        <v>12218.69</v>
      </c>
      <c r="C29" s="96">
        <v>0</v>
      </c>
      <c r="D29" s="96">
        <v>0</v>
      </c>
      <c r="E29" s="96">
        <v>0</v>
      </c>
      <c r="F29" s="100">
        <f>SUM(B29:E29)</f>
        <v>12218.69</v>
      </c>
    </row>
    <row r="30" spans="1:7" s="98" customFormat="1" ht="15" customHeight="1">
      <c r="A30" s="103" t="s">
        <v>87</v>
      </c>
      <c r="B30" s="99">
        <f>'Balance Sheet-1'!D16</f>
        <v>1349793.2</v>
      </c>
      <c r="C30" s="96">
        <v>0</v>
      </c>
      <c r="D30" s="96">
        <v>0</v>
      </c>
      <c r="E30" s="96">
        <v>0</v>
      </c>
      <c r="F30" s="100">
        <f>SUM(B30:E30)</f>
        <v>1349793.2</v>
      </c>
      <c r="G30" s="101"/>
    </row>
    <row r="31" spans="1:9" s="308" customFormat="1" ht="15" customHeight="1">
      <c r="A31" s="308" t="s">
        <v>204</v>
      </c>
      <c r="B31" s="100">
        <f>-'Income Statement-2'!B37</f>
        <v>285918</v>
      </c>
      <c r="C31" s="96">
        <v>0</v>
      </c>
      <c r="D31" s="96">
        <v>0</v>
      </c>
      <c r="E31" s="96">
        <v>0</v>
      </c>
      <c r="F31" s="100">
        <f>SUM(B31:E31)</f>
        <v>285918</v>
      </c>
      <c r="G31" s="100"/>
      <c r="H31" s="309"/>
      <c r="I31" s="310"/>
    </row>
    <row r="32" spans="1:8" s="98" customFormat="1" ht="15" customHeight="1">
      <c r="A32" s="103" t="s">
        <v>205</v>
      </c>
      <c r="B32" s="100">
        <f>-'Income Statement-2'!B39</f>
        <v>9531.95</v>
      </c>
      <c r="C32" s="96">
        <v>0</v>
      </c>
      <c r="D32" s="96">
        <v>0</v>
      </c>
      <c r="E32" s="96">
        <v>0</v>
      </c>
      <c r="F32" s="100">
        <f>SUM(B32:E32)</f>
        <v>9531.95</v>
      </c>
      <c r="G32" s="101"/>
      <c r="H32" s="101"/>
    </row>
    <row r="33" spans="1:8" s="98" customFormat="1" ht="15" customHeight="1" thickBot="1">
      <c r="A33" s="103" t="s">
        <v>74</v>
      </c>
      <c r="B33" s="113">
        <f>SUM(B29:B32)</f>
        <v>1657461.8399999999</v>
      </c>
      <c r="C33" s="105">
        <f>SUM(C29:C32)</f>
        <v>0</v>
      </c>
      <c r="D33" s="105">
        <f>SUM(D29:D32)</f>
        <v>0</v>
      </c>
      <c r="E33" s="105">
        <f>SUM(E29:E32)</f>
        <v>0</v>
      </c>
      <c r="F33" s="112">
        <f>SUM(F29:F32)</f>
        <v>1657461.8399999999</v>
      </c>
      <c r="G33" s="101"/>
      <c r="H33" s="102"/>
    </row>
    <row r="34" spans="1:6" s="98" customFormat="1" ht="15" customHeight="1" thickTop="1">
      <c r="A34" s="103"/>
      <c r="B34" s="92"/>
      <c r="C34" s="92"/>
      <c r="D34" s="92"/>
      <c r="E34" s="108"/>
      <c r="F34" s="100"/>
    </row>
    <row r="35" spans="1:6" s="98" customFormat="1" ht="15" customHeight="1">
      <c r="A35" s="90" t="s">
        <v>88</v>
      </c>
      <c r="B35" s="92"/>
      <c r="C35" s="92"/>
      <c r="D35" s="92"/>
      <c r="E35" s="108"/>
      <c r="F35" s="100"/>
    </row>
    <row r="36" spans="1:7" s="98" customFormat="1" ht="15" customHeight="1">
      <c r="A36" s="103" t="s">
        <v>89</v>
      </c>
      <c r="B36" s="99">
        <f>'Earned Incurred QTD-5'!B49</f>
        <v>11914.7</v>
      </c>
      <c r="C36" s="96">
        <v>0</v>
      </c>
      <c r="D36" s="96">
        <v>0</v>
      </c>
      <c r="E36" s="96">
        <v>0</v>
      </c>
      <c r="F36" s="100">
        <f>SUM(B36:E36)</f>
        <v>11914.7</v>
      </c>
      <c r="G36" s="101"/>
    </row>
    <row r="37" spans="1:8" s="98" customFormat="1" ht="15" customHeight="1">
      <c r="A37" s="103" t="s">
        <v>90</v>
      </c>
      <c r="B37" s="99">
        <v>1406152.04</v>
      </c>
      <c r="C37" s="96">
        <v>0</v>
      </c>
      <c r="D37" s="96">
        <v>0</v>
      </c>
      <c r="E37" s="96">
        <v>0</v>
      </c>
      <c r="F37" s="100">
        <f>SUM(B37:E37)</f>
        <v>1406152.04</v>
      </c>
      <c r="G37" s="101"/>
      <c r="H37" s="101"/>
    </row>
    <row r="38" spans="1:7" s="98" customFormat="1" ht="15" customHeight="1" thickBot="1">
      <c r="A38" s="103" t="s">
        <v>74</v>
      </c>
      <c r="B38" s="113">
        <f>SUM(B36:B37)</f>
        <v>1418066.74</v>
      </c>
      <c r="C38" s="105">
        <f>SUM(C36:C37)</f>
        <v>0</v>
      </c>
      <c r="D38" s="105">
        <f>SUM(D36:D37)</f>
        <v>0</v>
      </c>
      <c r="E38" s="105">
        <f>SUM(E36:E37)</f>
        <v>0</v>
      </c>
      <c r="F38" s="112">
        <f>SUM(F36:F37)</f>
        <v>1418066.74</v>
      </c>
      <c r="G38" s="101"/>
    </row>
    <row r="39" spans="1:6" s="98" customFormat="1" ht="15" customHeight="1" thickTop="1">
      <c r="A39" s="103"/>
      <c r="B39" s="107"/>
      <c r="C39" s="107"/>
      <c r="D39" s="107"/>
      <c r="E39" s="100"/>
      <c r="F39" s="96"/>
    </row>
    <row r="40" spans="1:6" s="98" customFormat="1" ht="15" customHeight="1" thickBot="1">
      <c r="A40" s="90" t="s">
        <v>92</v>
      </c>
      <c r="B40" s="111">
        <f>B26-B33+B38</f>
        <v>-1607910.7499999988</v>
      </c>
      <c r="C40" s="111">
        <f>C26-C33+C38</f>
        <v>-846830.67</v>
      </c>
      <c r="D40" s="111">
        <f>D26-D33+D38</f>
        <v>-2411.86</v>
      </c>
      <c r="E40" s="105">
        <f>E26-E33+E38</f>
        <v>0</v>
      </c>
      <c r="F40" s="112">
        <f>F26-F33+F38</f>
        <v>-2457154.2799999984</v>
      </c>
    </row>
    <row r="41" spans="1:6" s="98" customFormat="1" ht="15" customHeight="1" thickTop="1">
      <c r="A41" s="103"/>
      <c r="B41" s="107"/>
      <c r="C41" s="107"/>
      <c r="D41" s="107"/>
      <c r="E41" s="100"/>
      <c r="F41" s="100"/>
    </row>
    <row r="42" spans="1:6" s="98" customFormat="1" ht="15" customHeight="1">
      <c r="A42" s="114" t="s">
        <v>93</v>
      </c>
      <c r="B42" s="115"/>
      <c r="C42" s="115"/>
      <c r="D42" s="115"/>
      <c r="E42" s="100"/>
      <c r="F42" s="100"/>
    </row>
    <row r="43" spans="1:7" s="98" customFormat="1" ht="15" customHeight="1">
      <c r="A43" s="103" t="s">
        <v>35</v>
      </c>
      <c r="B43" s="100">
        <f>'Premiums QTD-7'!B18</f>
        <v>5554113.430000001</v>
      </c>
      <c r="C43" s="96">
        <f>'Premiums QTD-7'!C18</f>
        <v>0</v>
      </c>
      <c r="D43" s="96">
        <f>'Premiums QTD-7'!D18</f>
        <v>0</v>
      </c>
      <c r="E43" s="96">
        <f>'Premiums QTD-7'!E18</f>
        <v>0</v>
      </c>
      <c r="F43" s="100">
        <f>SUM(B43:E43)</f>
        <v>5554113.430000001</v>
      </c>
      <c r="G43" s="116"/>
    </row>
    <row r="44" spans="1:6" s="98" customFormat="1" ht="15" customHeight="1">
      <c r="A44" s="103" t="s">
        <v>94</v>
      </c>
      <c r="B44" s="100">
        <f>'Losses Incurred QTD-9'!B18+'Losses Incurred QTD-9'!B24</f>
        <v>7694673.45</v>
      </c>
      <c r="C44" s="100">
        <f>'Losses Incurred QTD-9'!C18+'Losses Incurred QTD-9'!C24</f>
        <v>1502130.07</v>
      </c>
      <c r="D44" s="100">
        <f>'Losses Incurred QTD-9'!D18+'Losses Incurred QTD-9'!D24</f>
        <v>52262.79</v>
      </c>
      <c r="E44" s="96">
        <f>'Losses Incurred QTD-9'!E18+'Losses Incurred QTD-9'!E24</f>
        <v>0</v>
      </c>
      <c r="F44" s="100">
        <f>SUM(B44:E44)</f>
        <v>9249066.309999999</v>
      </c>
    </row>
    <row r="45" spans="1:6" s="98" customFormat="1" ht="15" customHeight="1">
      <c r="A45" s="103" t="s">
        <v>95</v>
      </c>
      <c r="B45" s="100">
        <f>'Loss Expenses QTD-11'!B18</f>
        <v>205071.8</v>
      </c>
      <c r="C45" s="100">
        <f>'Loss Expenses QTD-11'!C18</f>
        <v>142893.41999999998</v>
      </c>
      <c r="D45" s="100">
        <f>'Loss Expenses QTD-11'!D18</f>
        <v>31637.39</v>
      </c>
      <c r="E45" s="96">
        <f>'Loss Expenses QTD-11'!E18</f>
        <v>0</v>
      </c>
      <c r="F45" s="100">
        <f>SUM(B45:E45)-1</f>
        <v>379601.61</v>
      </c>
    </row>
    <row r="46" spans="1:6" s="98" customFormat="1" ht="15" customHeight="1">
      <c r="A46" s="103" t="s">
        <v>96</v>
      </c>
      <c r="B46" s="100">
        <f>'Earned Incurred QTD-5'!B41</f>
        <v>150194.15999999997</v>
      </c>
      <c r="C46" s="96">
        <v>0</v>
      </c>
      <c r="D46" s="96">
        <v>0</v>
      </c>
      <c r="E46" s="96">
        <v>0</v>
      </c>
      <c r="F46" s="100">
        <f>SUM(B46:E46)</f>
        <v>150194.15999999997</v>
      </c>
    </row>
    <row r="47" spans="1:6" s="98" customFormat="1" ht="15" customHeight="1">
      <c r="A47" s="103" t="s">
        <v>97</v>
      </c>
      <c r="B47" s="100">
        <f>'Earned Incurred QTD-5'!B33</f>
        <v>39370.68</v>
      </c>
      <c r="C47" s="96">
        <v>0</v>
      </c>
      <c r="D47" s="96">
        <v>0</v>
      </c>
      <c r="E47" s="96">
        <v>0</v>
      </c>
      <c r="F47" s="100">
        <f>SUM(B47:E47)</f>
        <v>39370.68</v>
      </c>
    </row>
    <row r="48" spans="1:6" s="98" customFormat="1" ht="15" customHeight="1" thickBot="1">
      <c r="A48" s="117" t="s">
        <v>74</v>
      </c>
      <c r="B48" s="113">
        <f>SUM(B43:B47)-1</f>
        <v>13643422.520000001</v>
      </c>
      <c r="C48" s="113">
        <f>SUM(C43:C47)</f>
        <v>1645023.49</v>
      </c>
      <c r="D48" s="113">
        <f>SUM(D43:D47)</f>
        <v>83900.18</v>
      </c>
      <c r="E48" s="105">
        <f>SUM(E43:E47)</f>
        <v>0</v>
      </c>
      <c r="F48" s="106">
        <f>SUM(F43:F47)</f>
        <v>15372346.189999998</v>
      </c>
    </row>
    <row r="49" spans="1:6" s="98" customFormat="1" ht="15" customHeight="1" thickTop="1">
      <c r="A49" s="103"/>
      <c r="B49" s="107"/>
      <c r="C49" s="107"/>
      <c r="D49" s="107"/>
      <c r="E49" s="100"/>
      <c r="F49" s="100"/>
    </row>
    <row r="50" spans="1:6" s="98" customFormat="1" ht="15" customHeight="1">
      <c r="A50" s="114" t="s">
        <v>98</v>
      </c>
      <c r="B50" s="115"/>
      <c r="C50" s="115"/>
      <c r="D50" s="115"/>
      <c r="E50" s="100"/>
      <c r="F50" s="100"/>
    </row>
    <row r="51" spans="1:7" s="98" customFormat="1" ht="15" customHeight="1">
      <c r="A51" s="103" t="s">
        <v>35</v>
      </c>
      <c r="B51" s="100">
        <f>'Premiums QTD-7'!B24</f>
        <v>5338527.75</v>
      </c>
      <c r="C51" s="100">
        <f>'Premiums QTD-7'!C24</f>
        <v>327871.24</v>
      </c>
      <c r="D51" s="96">
        <f>'Premiums QTD-7'!D24</f>
        <v>0</v>
      </c>
      <c r="E51" s="96">
        <f>'Premiums QTD-7'!E24</f>
        <v>0</v>
      </c>
      <c r="F51" s="100">
        <f>SUM(B51:E51)</f>
        <v>5666398.99</v>
      </c>
      <c r="G51" s="116"/>
    </row>
    <row r="52" spans="1:7" s="98" customFormat="1" ht="15" customHeight="1">
      <c r="A52" s="103" t="s">
        <v>94</v>
      </c>
      <c r="B52" s="100">
        <v>680530.37</v>
      </c>
      <c r="C52" s="100">
        <v>1068484.21</v>
      </c>
      <c r="D52" s="100">
        <v>54262.79</v>
      </c>
      <c r="E52" s="96">
        <v>0</v>
      </c>
      <c r="F52" s="100">
        <f>SUM(B52:E52)</f>
        <v>1803277.37</v>
      </c>
      <c r="G52" s="101"/>
    </row>
    <row r="53" spans="1:7" s="98" customFormat="1" ht="15" customHeight="1">
      <c r="A53" s="103" t="s">
        <v>99</v>
      </c>
      <c r="B53" s="100">
        <f>'Loss Expenses QTD-11'!B24</f>
        <v>153478.61</v>
      </c>
      <c r="C53" s="100">
        <f>'Loss Expenses QTD-11'!C24</f>
        <v>242305.67</v>
      </c>
      <c r="D53" s="100">
        <f>'Loss Expenses QTD-11'!D24</f>
        <v>42583.86000000001</v>
      </c>
      <c r="E53" s="96">
        <f>'Loss Expenses QTD-11'!E24</f>
        <v>0</v>
      </c>
      <c r="F53" s="100">
        <f>SUM(B53:E53)+1</f>
        <v>438369.14</v>
      </c>
      <c r="G53" s="101"/>
    </row>
    <row r="54" spans="1:7" s="98" customFormat="1" ht="15" customHeight="1">
      <c r="A54" s="103" t="s">
        <v>96</v>
      </c>
      <c r="B54" s="100">
        <f>'Earned Incurred QTD-5'!B42</f>
        <v>103879.51999999999</v>
      </c>
      <c r="C54" s="96">
        <v>0</v>
      </c>
      <c r="D54" s="96">
        <v>0</v>
      </c>
      <c r="E54" s="96">
        <v>0</v>
      </c>
      <c r="F54" s="100">
        <f>SUM(B54:E54)</f>
        <v>103879.51999999999</v>
      </c>
      <c r="G54" s="101"/>
    </row>
    <row r="55" spans="1:7" s="98" customFormat="1" ht="15" customHeight="1">
      <c r="A55" s="103" t="s">
        <v>97</v>
      </c>
      <c r="B55" s="100">
        <f>'Earned Incurred QTD-5'!B34</f>
        <v>30556.68</v>
      </c>
      <c r="C55" s="96">
        <v>0</v>
      </c>
      <c r="D55" s="96">
        <v>0</v>
      </c>
      <c r="E55" s="96">
        <v>0</v>
      </c>
      <c r="F55" s="100">
        <f>SUM(B55:E55)</f>
        <v>30556.68</v>
      </c>
      <c r="G55" s="101"/>
    </row>
    <row r="56" spans="1:6" s="98" customFormat="1" ht="15" customHeight="1" thickBot="1">
      <c r="A56" s="103" t="s">
        <v>74</v>
      </c>
      <c r="B56" s="113">
        <f>SUM(B51:B55)+1</f>
        <v>6306973.93</v>
      </c>
      <c r="C56" s="113">
        <f>SUM(C51:C55)</f>
        <v>1638661.1199999999</v>
      </c>
      <c r="D56" s="113">
        <f>SUM(D51:D55)</f>
        <v>96846.65000000001</v>
      </c>
      <c r="E56" s="105">
        <f>SUM(E51:E55)</f>
        <v>0</v>
      </c>
      <c r="F56" s="106">
        <f>SUM(F51:F55)</f>
        <v>8042481.699999999</v>
      </c>
    </row>
    <row r="57" spans="1:6" s="98" customFormat="1" ht="15" customHeight="1" thickTop="1">
      <c r="A57" s="103"/>
      <c r="B57" s="107"/>
      <c r="C57" s="107"/>
      <c r="D57" s="107"/>
      <c r="E57" s="107"/>
      <c r="F57" s="24"/>
    </row>
    <row r="58" spans="1:7" s="98" customFormat="1" ht="15" customHeight="1" thickBot="1">
      <c r="A58" s="110" t="s">
        <v>100</v>
      </c>
      <c r="B58" s="118">
        <f>B40-B48+B56-1</f>
        <v>-8944360.34</v>
      </c>
      <c r="C58" s="118">
        <f>C40-C48+C56</f>
        <v>-853193.0400000003</v>
      </c>
      <c r="D58" s="118">
        <f>D40-D48+D56</f>
        <v>10534.610000000015</v>
      </c>
      <c r="E58" s="311">
        <f>E40-E48+E56</f>
        <v>0</v>
      </c>
      <c r="F58" s="118">
        <f>F40-F48+F56</f>
        <v>-9787018.769999996</v>
      </c>
      <c r="G58" s="101"/>
    </row>
    <row r="59" spans="1:6" s="98" customFormat="1" ht="15" customHeight="1" thickTop="1">
      <c r="A59" s="103"/>
      <c r="B59" s="101"/>
      <c r="C59" s="101"/>
      <c r="D59" s="107"/>
      <c r="E59" s="107"/>
      <c r="F59" s="107"/>
    </row>
    <row r="60" spans="2:6" s="98" customFormat="1" ht="15" customHeight="1">
      <c r="B60" s="101"/>
      <c r="C60" s="101"/>
      <c r="D60" s="107"/>
      <c r="E60" s="107"/>
      <c r="F60" s="107"/>
    </row>
    <row r="61" spans="2:6" s="98" customFormat="1" ht="15" customHeight="1">
      <c r="B61" s="101"/>
      <c r="C61" s="101"/>
      <c r="D61" s="107"/>
      <c r="E61" s="107"/>
      <c r="F61" s="107"/>
    </row>
    <row r="62" spans="2:6" s="98" customFormat="1" ht="15" customHeight="1">
      <c r="B62" s="101"/>
      <c r="C62" s="101"/>
      <c r="D62" s="107"/>
      <c r="E62" s="107"/>
      <c r="F62" s="107"/>
    </row>
    <row r="63" spans="1:6" s="98" customFormat="1" ht="15" customHeight="1">
      <c r="A63" s="93"/>
      <c r="B63" s="119"/>
      <c r="C63" s="119"/>
      <c r="D63" s="107"/>
      <c r="E63" s="107"/>
      <c r="F63" s="107"/>
    </row>
    <row r="64" spans="2:6" s="98" customFormat="1" ht="15" customHeight="1">
      <c r="B64" s="101"/>
      <c r="C64" s="101"/>
      <c r="D64" s="107"/>
      <c r="E64" s="107"/>
      <c r="F64" s="24"/>
    </row>
    <row r="65" spans="2:6" s="98" customFormat="1" ht="15" customHeight="1">
      <c r="B65" s="101"/>
      <c r="C65" s="101"/>
      <c r="D65" s="107"/>
      <c r="E65" s="107"/>
      <c r="F65" s="24"/>
    </row>
    <row r="66" spans="2:6" s="98" customFormat="1" ht="15" customHeight="1">
      <c r="B66" s="101"/>
      <c r="C66" s="101"/>
      <c r="D66" s="107"/>
      <c r="E66" s="107"/>
      <c r="F66" s="24"/>
    </row>
    <row r="67" spans="2:6" s="98" customFormat="1" ht="15" customHeight="1">
      <c r="B67" s="101"/>
      <c r="C67" s="101"/>
      <c r="D67" s="107"/>
      <c r="E67" s="107"/>
      <c r="F67" s="24"/>
    </row>
    <row r="68" spans="2:6" s="98" customFormat="1" ht="15" customHeight="1">
      <c r="B68" s="101"/>
      <c r="C68" s="101"/>
      <c r="D68" s="107"/>
      <c r="E68" s="107"/>
      <c r="F68" s="24"/>
    </row>
    <row r="69" spans="2:6" s="98" customFormat="1" ht="15" customHeight="1">
      <c r="B69" s="101"/>
      <c r="C69" s="101"/>
      <c r="D69" s="107"/>
      <c r="E69" s="107"/>
      <c r="F69" s="24"/>
    </row>
    <row r="70" spans="2:6" s="98" customFormat="1" ht="15" customHeight="1">
      <c r="B70" s="101"/>
      <c r="C70" s="101"/>
      <c r="D70" s="107"/>
      <c r="E70" s="107"/>
      <c r="F70" s="24"/>
    </row>
    <row r="71" spans="2:6" s="98" customFormat="1" ht="15" customHeight="1">
      <c r="B71" s="101"/>
      <c r="C71" s="101"/>
      <c r="D71" s="107"/>
      <c r="E71" s="107"/>
      <c r="F71" s="24"/>
    </row>
    <row r="72" spans="2:6" s="98" customFormat="1" ht="15" customHeight="1">
      <c r="B72" s="101"/>
      <c r="C72" s="101"/>
      <c r="D72" s="107"/>
      <c r="E72" s="107"/>
      <c r="F72" s="24"/>
    </row>
    <row r="73" spans="2:6" s="98" customFormat="1" ht="15" customHeight="1">
      <c r="B73" s="101"/>
      <c r="C73" s="101"/>
      <c r="D73" s="107"/>
      <c r="E73" s="107"/>
      <c r="F73" s="24"/>
    </row>
    <row r="74" spans="2:6" s="98" customFormat="1" ht="15" customHeight="1">
      <c r="B74" s="101"/>
      <c r="C74" s="101"/>
      <c r="D74" s="107"/>
      <c r="E74" s="107"/>
      <c r="F74" s="24"/>
    </row>
    <row r="75" spans="2:6" s="98" customFormat="1" ht="15" customHeight="1">
      <c r="B75" s="101"/>
      <c r="C75" s="101"/>
      <c r="D75" s="107"/>
      <c r="E75" s="107"/>
      <c r="F75" s="24"/>
    </row>
    <row r="76" spans="2:6" s="98" customFormat="1" ht="15" customHeight="1">
      <c r="B76" s="101"/>
      <c r="C76" s="101"/>
      <c r="D76" s="107"/>
      <c r="E76" s="107"/>
      <c r="F76" s="24"/>
    </row>
    <row r="77" spans="2:6" s="98" customFormat="1" ht="15" customHeight="1">
      <c r="B77" s="101"/>
      <c r="C77" s="101"/>
      <c r="D77" s="107"/>
      <c r="E77" s="107"/>
      <c r="F77" s="24"/>
    </row>
    <row r="78" spans="2:6" s="98" customFormat="1" ht="15" customHeight="1">
      <c r="B78" s="101"/>
      <c r="C78" s="101"/>
      <c r="D78" s="107"/>
      <c r="E78" s="107"/>
      <c r="F78" s="24"/>
    </row>
    <row r="79" spans="2:6" s="98" customFormat="1" ht="15" customHeight="1">
      <c r="B79" s="101"/>
      <c r="C79" s="101"/>
      <c r="D79" s="107"/>
      <c r="E79" s="107"/>
      <c r="F79" s="24"/>
    </row>
    <row r="80" spans="2:6" s="98" customFormat="1" ht="15" customHeight="1">
      <c r="B80" s="101"/>
      <c r="C80" s="101"/>
      <c r="D80" s="107"/>
      <c r="E80" s="107"/>
      <c r="F80" s="24"/>
    </row>
    <row r="81" spans="2:6" s="98" customFormat="1" ht="15" customHeight="1">
      <c r="B81" s="101"/>
      <c r="C81" s="101"/>
      <c r="D81" s="107"/>
      <c r="E81" s="107"/>
      <c r="F81" s="24"/>
    </row>
    <row r="82" spans="2:6" s="98" customFormat="1" ht="15" customHeight="1">
      <c r="B82" s="101"/>
      <c r="C82" s="101"/>
      <c r="D82" s="107"/>
      <c r="E82" s="107"/>
      <c r="F82" s="24"/>
    </row>
    <row r="83" spans="2:6" s="98" customFormat="1" ht="15" customHeight="1">
      <c r="B83" s="101"/>
      <c r="C83" s="101"/>
      <c r="D83" s="107"/>
      <c r="E83" s="107"/>
      <c r="F83" s="24"/>
    </row>
    <row r="84" spans="2:6" s="98" customFormat="1" ht="15" customHeight="1">
      <c r="B84" s="101"/>
      <c r="C84" s="101"/>
      <c r="D84" s="107"/>
      <c r="E84" s="107"/>
      <c r="F84" s="24"/>
    </row>
    <row r="85" spans="2:6" s="98" customFormat="1" ht="15" customHeight="1">
      <c r="B85" s="101"/>
      <c r="C85" s="101"/>
      <c r="D85" s="107"/>
      <c r="E85" s="107"/>
      <c r="F85" s="24"/>
    </row>
    <row r="86" spans="2:6" s="98" customFormat="1" ht="15" customHeight="1">
      <c r="B86" s="101"/>
      <c r="C86" s="101"/>
      <c r="D86" s="107"/>
      <c r="E86" s="107"/>
      <c r="F86" s="24"/>
    </row>
    <row r="87" spans="2:6" s="98" customFormat="1" ht="15" customHeight="1">
      <c r="B87" s="101"/>
      <c r="C87" s="101"/>
      <c r="D87" s="107"/>
      <c r="E87" s="107"/>
      <c r="F87" s="24"/>
    </row>
    <row r="88" spans="2:6" s="98" customFormat="1" ht="15" customHeight="1">
      <c r="B88" s="101"/>
      <c r="C88" s="101"/>
      <c r="D88" s="107"/>
      <c r="E88" s="107"/>
      <c r="F88" s="24"/>
    </row>
    <row r="89" spans="2:6" s="98" customFormat="1" ht="15" customHeight="1">
      <c r="B89" s="101"/>
      <c r="C89" s="101"/>
      <c r="D89" s="107"/>
      <c r="E89" s="107"/>
      <c r="F89" s="24"/>
    </row>
    <row r="90" spans="2:6" s="98" customFormat="1" ht="15" customHeight="1">
      <c r="B90" s="101"/>
      <c r="C90" s="101"/>
      <c r="D90" s="107"/>
      <c r="E90" s="107"/>
      <c r="F90" s="24"/>
    </row>
  </sheetData>
  <sheetProtection/>
  <mergeCells count="4">
    <mergeCell ref="A1:F1"/>
    <mergeCell ref="A2:F2"/>
    <mergeCell ref="A3:F3"/>
    <mergeCell ref="A4:F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I90"/>
  <sheetViews>
    <sheetView zoomScalePageLayoutView="0" workbookViewId="0" topLeftCell="A1">
      <selection activeCell="A1" sqref="A1:F1"/>
    </sheetView>
  </sheetViews>
  <sheetFormatPr defaultColWidth="15.7109375" defaultRowHeight="15" customHeight="1"/>
  <cols>
    <col min="1" max="1" width="45.7109375" style="120" customWidth="1"/>
    <col min="2" max="3" width="15.7109375" style="121" customWidth="1"/>
    <col min="4" max="5" width="15.7109375" style="122" customWidth="1"/>
    <col min="6" max="6" width="15.7109375" style="123" customWidth="1"/>
    <col min="7" max="16384" width="15.7109375" style="120" customWidth="1"/>
  </cols>
  <sheetData>
    <row r="1" spans="1:6" s="77" customFormat="1" ht="30" customHeight="1">
      <c r="A1" s="320" t="s">
        <v>0</v>
      </c>
      <c r="B1" s="320"/>
      <c r="C1" s="320"/>
      <c r="D1" s="320"/>
      <c r="E1" s="320"/>
      <c r="F1" s="320"/>
    </row>
    <row r="2" spans="1:6" s="78" customFormat="1" ht="15" customHeight="1">
      <c r="A2" s="321"/>
      <c r="B2" s="321"/>
      <c r="C2" s="321"/>
      <c r="D2" s="321"/>
      <c r="E2" s="321"/>
      <c r="F2" s="321"/>
    </row>
    <row r="3" spans="1:6" s="79" customFormat="1" ht="15" customHeight="1">
      <c r="A3" s="322" t="s">
        <v>70</v>
      </c>
      <c r="B3" s="322"/>
      <c r="C3" s="322"/>
      <c r="D3" s="322"/>
      <c r="E3" s="322"/>
      <c r="F3" s="322"/>
    </row>
    <row r="4" spans="1:6" s="79" customFormat="1" ht="15" customHeight="1">
      <c r="A4" s="322" t="s">
        <v>191</v>
      </c>
      <c r="B4" s="322"/>
      <c r="C4" s="322"/>
      <c r="D4" s="322"/>
      <c r="E4" s="322"/>
      <c r="F4" s="322"/>
    </row>
    <row r="5" spans="1:6" s="85" customFormat="1" ht="15" customHeight="1">
      <c r="A5" s="124"/>
      <c r="B5" s="125"/>
      <c r="C5" s="125"/>
      <c r="D5" s="126"/>
      <c r="E5" s="127"/>
      <c r="F5" s="128"/>
    </row>
    <row r="6" spans="1:6" s="89" customFormat="1" ht="30" customHeight="1">
      <c r="A6" s="86"/>
      <c r="B6" s="87" t="s">
        <v>1</v>
      </c>
      <c r="C6" s="87" t="s">
        <v>2</v>
      </c>
      <c r="D6" s="87" t="s">
        <v>3</v>
      </c>
      <c r="E6" s="87" t="s">
        <v>4</v>
      </c>
      <c r="F6" s="88" t="s">
        <v>5</v>
      </c>
    </row>
    <row r="7" spans="1:6" s="93" customFormat="1" ht="15" customHeight="1">
      <c r="A7" s="90" t="s">
        <v>71</v>
      </c>
      <c r="B7" s="91"/>
      <c r="C7" s="91"/>
      <c r="D7" s="92"/>
      <c r="E7" s="92"/>
      <c r="F7" s="92"/>
    </row>
    <row r="8" spans="1:6" s="98" customFormat="1" ht="15" customHeight="1">
      <c r="A8" s="94" t="s">
        <v>72</v>
      </c>
      <c r="B8" s="95">
        <f>'Premiums YTD-8'!B12</f>
        <v>11140808</v>
      </c>
      <c r="C8" s="95">
        <f>'Premiums YTD-8'!C12</f>
        <v>-113038</v>
      </c>
      <c r="D8" s="95">
        <f>'Premiums YTD-8'!D12</f>
        <v>-845</v>
      </c>
      <c r="E8" s="96">
        <f>'Premiums YTD-8'!E12</f>
        <v>0</v>
      </c>
      <c r="F8" s="97">
        <f>SUM(B8:E8)</f>
        <v>11026925</v>
      </c>
    </row>
    <row r="9" spans="1:8" s="98" customFormat="1" ht="15" customHeight="1">
      <c r="A9" s="94" t="s">
        <v>101</v>
      </c>
      <c r="B9" s="99">
        <f>'Earned Incurred YTD-6'!D55</f>
        <v>22376.78</v>
      </c>
      <c r="C9" s="96">
        <v>0</v>
      </c>
      <c r="D9" s="96">
        <v>0</v>
      </c>
      <c r="E9" s="96">
        <v>0</v>
      </c>
      <c r="F9" s="100">
        <f>SUM(B9:E9)</f>
        <v>22376.78</v>
      </c>
      <c r="G9" s="101"/>
      <c r="H9" s="102"/>
    </row>
    <row r="10" spans="1:7" s="98" customFormat="1" ht="15" customHeight="1">
      <c r="A10" s="94" t="s">
        <v>73</v>
      </c>
      <c r="B10" s="99">
        <f>'Earned Incurred YTD-6'!C48</f>
        <v>71218.12</v>
      </c>
      <c r="C10" s="96">
        <v>0</v>
      </c>
      <c r="D10" s="96">
        <v>0</v>
      </c>
      <c r="E10" s="96">
        <v>0</v>
      </c>
      <c r="F10" s="100">
        <f>SUM(B10:E10)</f>
        <v>71218.12</v>
      </c>
      <c r="G10" s="101"/>
    </row>
    <row r="11" spans="1:8" s="98" customFormat="1" ht="15" customHeight="1">
      <c r="A11" s="94" t="s">
        <v>102</v>
      </c>
      <c r="B11" s="99">
        <f>'Earned Incurred YTD-6'!D53</f>
        <v>11064.85</v>
      </c>
      <c r="C11" s="96">
        <v>0</v>
      </c>
      <c r="D11" s="96">
        <v>0</v>
      </c>
      <c r="E11" s="96">
        <v>0</v>
      </c>
      <c r="F11" s="100">
        <f>SUM(B11:E11)</f>
        <v>11064.85</v>
      </c>
      <c r="G11" s="101"/>
      <c r="H11" s="102"/>
    </row>
    <row r="12" spans="1:6" s="98" customFormat="1" ht="15" customHeight="1" thickBot="1">
      <c r="A12" s="103" t="s">
        <v>74</v>
      </c>
      <c r="B12" s="104">
        <f>SUM(B8:B11)</f>
        <v>11245467.749999998</v>
      </c>
      <c r="C12" s="104">
        <f>SUM(C8:C11)</f>
        <v>-113038</v>
      </c>
      <c r="D12" s="104">
        <f>SUM(D8:D11)</f>
        <v>-845</v>
      </c>
      <c r="E12" s="105">
        <f>SUM(E8:E11)</f>
        <v>0</v>
      </c>
      <c r="F12" s="106">
        <f>SUM(F8:F11)</f>
        <v>11131584.749999998</v>
      </c>
    </row>
    <row r="13" spans="1:6" s="98" customFormat="1" ht="15" customHeight="1" thickTop="1">
      <c r="A13" s="103"/>
      <c r="B13" s="107"/>
      <c r="C13" s="107"/>
      <c r="D13" s="107"/>
      <c r="E13" s="100"/>
      <c r="F13" s="100"/>
    </row>
    <row r="14" spans="1:6" s="98" customFormat="1" ht="15" customHeight="1">
      <c r="A14" s="90" t="s">
        <v>75</v>
      </c>
      <c r="B14" s="92"/>
      <c r="C14" s="92"/>
      <c r="D14" s="92"/>
      <c r="E14" s="108"/>
      <c r="F14" s="100"/>
    </row>
    <row r="15" spans="1:6" s="98" customFormat="1" ht="15" customHeight="1">
      <c r="A15" s="103" t="s">
        <v>76</v>
      </c>
      <c r="B15" s="99">
        <f>'Losses Incurred YTD-10'!B12</f>
        <v>3543026.44</v>
      </c>
      <c r="C15" s="99">
        <f>'Losses Incurred YTD-10'!C12</f>
        <v>4204366.88</v>
      </c>
      <c r="D15" s="99">
        <f>'Losses Incurred YTD-10'!D12</f>
        <v>419392.45999999996</v>
      </c>
      <c r="E15" s="96">
        <f>'Losses Incurred YTD-10'!E12</f>
        <v>0</v>
      </c>
      <c r="F15" s="100">
        <f>SUM(B15:E15)-1</f>
        <v>8166784.78</v>
      </c>
    </row>
    <row r="16" spans="1:6" s="98" customFormat="1" ht="15" customHeight="1">
      <c r="A16" s="103" t="s">
        <v>77</v>
      </c>
      <c r="B16" s="99">
        <f>'[2]Loss Expenses Paid YTD-16'!C24</f>
        <v>402012.31</v>
      </c>
      <c r="C16" s="99">
        <f>'[2]Loss Expenses Paid YTD-16'!C18</f>
        <v>472132.85</v>
      </c>
      <c r="D16" s="99">
        <f>'[2]Loss Expenses Paid YTD-16'!C12</f>
        <v>87937.07</v>
      </c>
      <c r="E16" s="96">
        <v>0</v>
      </c>
      <c r="F16" s="100">
        <f aca="true" t="shared" si="0" ref="F16:F22">SUM(B16:E16)</f>
        <v>962082.23</v>
      </c>
    </row>
    <row r="17" spans="1:7" s="98" customFormat="1" ht="15" customHeight="1">
      <c r="A17" s="103" t="s">
        <v>78</v>
      </c>
      <c r="B17" s="99">
        <f>'[2]Loss Expenses Paid YTD-16'!I24</f>
        <v>231940.34000000003</v>
      </c>
      <c r="C17" s="99">
        <f>'[2]Loss Expenses Paid YTD-16'!I18</f>
        <v>306979.67000000004</v>
      </c>
      <c r="D17" s="99">
        <f>'[2]Loss Expenses Paid YTD-16'!I12</f>
        <v>38920.42</v>
      </c>
      <c r="E17" s="96">
        <v>0</v>
      </c>
      <c r="F17" s="100">
        <f t="shared" si="0"/>
        <v>577840.43</v>
      </c>
      <c r="G17" s="101"/>
    </row>
    <row r="18" spans="1:6" s="98" customFormat="1" ht="15" customHeight="1">
      <c r="A18" s="103" t="s">
        <v>79</v>
      </c>
      <c r="B18" s="99">
        <f>'[1]4Q12 Trial Balance'!F375</f>
        <v>35807.21</v>
      </c>
      <c r="C18" s="96">
        <v>0</v>
      </c>
      <c r="D18" s="96">
        <v>0</v>
      </c>
      <c r="E18" s="96">
        <v>0</v>
      </c>
      <c r="F18" s="100">
        <f t="shared" si="0"/>
        <v>35807.21</v>
      </c>
    </row>
    <row r="19" spans="1:7" s="98" customFormat="1" ht="15" customHeight="1">
      <c r="A19" s="109" t="s">
        <v>80</v>
      </c>
      <c r="B19" s="99">
        <f>'[1]4Q12 Trial Balance'!F381</f>
        <v>87290.26999999999</v>
      </c>
      <c r="C19" s="96">
        <v>0</v>
      </c>
      <c r="D19" s="96">
        <v>0</v>
      </c>
      <c r="E19" s="96">
        <v>0</v>
      </c>
      <c r="F19" s="100">
        <f t="shared" si="0"/>
        <v>87290.26999999999</v>
      </c>
      <c r="G19" s="101"/>
    </row>
    <row r="20" spans="1:7" s="98" customFormat="1" ht="15" customHeight="1">
      <c r="A20" s="103" t="s">
        <v>81</v>
      </c>
      <c r="B20" s="99">
        <f>'[1]4Q12 Trial Balance'!F377</f>
        <v>16500</v>
      </c>
      <c r="C20" s="96">
        <v>0</v>
      </c>
      <c r="D20" s="96">
        <v>0</v>
      </c>
      <c r="E20" s="96">
        <v>0</v>
      </c>
      <c r="F20" s="100">
        <f t="shared" si="0"/>
        <v>16500</v>
      </c>
      <c r="G20" s="101"/>
    </row>
    <row r="21" spans="1:7" s="98" customFormat="1" ht="15" customHeight="1">
      <c r="A21" s="109" t="s">
        <v>82</v>
      </c>
      <c r="B21" s="99">
        <f>'[1]4Q12 Trial Balance'!F370+1</f>
        <v>962409.6499999999</v>
      </c>
      <c r="C21" s="99">
        <f>'[1]4Q12 Trial Balance'!F366</f>
        <v>-9487.5</v>
      </c>
      <c r="D21" s="99">
        <f>'[1]4Q12 Trial Balance'!F362</f>
        <v>-84.5</v>
      </c>
      <c r="E21" s="96">
        <v>0</v>
      </c>
      <c r="F21" s="100">
        <f>SUM(B21:E21)-1</f>
        <v>952836.6499999999</v>
      </c>
      <c r="G21" s="101"/>
    </row>
    <row r="22" spans="1:7" s="98" customFormat="1" ht="15" customHeight="1">
      <c r="A22" s="103" t="s">
        <v>83</v>
      </c>
      <c r="B22" s="99">
        <f>'Earned Incurred YTD-6'!C39</f>
        <v>3744361.4499999997</v>
      </c>
      <c r="C22" s="96">
        <v>0</v>
      </c>
      <c r="D22" s="96">
        <v>0</v>
      </c>
      <c r="E22" s="96">
        <v>0</v>
      </c>
      <c r="F22" s="100">
        <f t="shared" si="0"/>
        <v>3744361.4499999997</v>
      </c>
      <c r="G22" s="101"/>
    </row>
    <row r="23" spans="1:7" s="98" customFormat="1" ht="15" customHeight="1">
      <c r="A23" s="103" t="s">
        <v>41</v>
      </c>
      <c r="B23" s="100">
        <f>14910.31+11400+11894.73</f>
        <v>38205.03999999999</v>
      </c>
      <c r="C23" s="100">
        <f>2047.47+1+11400</f>
        <v>13448.470000000001</v>
      </c>
      <c r="D23" s="96">
        <v>0</v>
      </c>
      <c r="E23" s="96">
        <v>0</v>
      </c>
      <c r="F23" s="100">
        <f>SUM(B23:E23)-1</f>
        <v>51652.509999999995</v>
      </c>
      <c r="G23" s="101"/>
    </row>
    <row r="24" spans="1:7" s="98" customFormat="1" ht="15" customHeight="1" thickBot="1">
      <c r="A24" s="103" t="s">
        <v>74</v>
      </c>
      <c r="B24" s="104">
        <f>SUM(B15:B23)-2</f>
        <v>9061550.709999997</v>
      </c>
      <c r="C24" s="104">
        <f>SUM(C15:C23)</f>
        <v>4987440.369999999</v>
      </c>
      <c r="D24" s="104">
        <f>SUM(D15:D23)-1</f>
        <v>546164.45</v>
      </c>
      <c r="E24" s="129">
        <f>SUM(E15:E23)</f>
        <v>0</v>
      </c>
      <c r="F24" s="106">
        <f>SUM(F15:F23)-1</f>
        <v>14595154.53</v>
      </c>
      <c r="G24" s="103"/>
    </row>
    <row r="25" spans="1:6" s="98" customFormat="1" ht="15" customHeight="1" thickTop="1">
      <c r="A25" s="103"/>
      <c r="B25" s="107"/>
      <c r="C25" s="107"/>
      <c r="D25" s="107"/>
      <c r="E25" s="100"/>
      <c r="F25" s="100"/>
    </row>
    <row r="26" spans="1:6" s="98" customFormat="1" ht="15" customHeight="1" thickBot="1">
      <c r="A26" s="110" t="s">
        <v>84</v>
      </c>
      <c r="B26" s="111">
        <f>B12-B24</f>
        <v>2183917.040000001</v>
      </c>
      <c r="C26" s="111">
        <f>C12-C24</f>
        <v>-5100478.369999999</v>
      </c>
      <c r="D26" s="111">
        <f>D12-D24</f>
        <v>-547009.45</v>
      </c>
      <c r="E26" s="130">
        <f>E12-E24</f>
        <v>0</v>
      </c>
      <c r="F26" s="112">
        <f>SUM(B26:E26)+1</f>
        <v>-3463569.7799999984</v>
      </c>
    </row>
    <row r="27" spans="1:6" s="98" customFormat="1" ht="15" customHeight="1" thickTop="1">
      <c r="A27" s="103"/>
      <c r="B27" s="107"/>
      <c r="C27" s="107"/>
      <c r="D27" s="107"/>
      <c r="E27" s="100"/>
      <c r="F27" s="100"/>
    </row>
    <row r="28" spans="1:6" s="98" customFormat="1" ht="15" customHeight="1">
      <c r="A28" s="90" t="s">
        <v>85</v>
      </c>
      <c r="B28" s="92"/>
      <c r="C28" s="92"/>
      <c r="D28" s="92"/>
      <c r="E28" s="108"/>
      <c r="F28" s="100"/>
    </row>
    <row r="29" spans="1:6" s="98" customFormat="1" ht="15" customHeight="1">
      <c r="A29" s="103" t="s">
        <v>86</v>
      </c>
      <c r="B29" s="96">
        <v>0</v>
      </c>
      <c r="C29" s="99">
        <f>'Earned Incurred YTD-6'!B50</f>
        <v>15822</v>
      </c>
      <c r="D29" s="96">
        <v>0</v>
      </c>
      <c r="E29" s="96">
        <v>0</v>
      </c>
      <c r="F29" s="100">
        <f>SUM(B29:E29)</f>
        <v>15822</v>
      </c>
    </row>
    <row r="30" spans="1:7" s="98" customFormat="1" ht="15" customHeight="1">
      <c r="A30" s="103" t="s">
        <v>87</v>
      </c>
      <c r="B30" s="100">
        <f>'Balance Sheet-1'!D16</f>
        <v>1349793.2</v>
      </c>
      <c r="C30" s="96">
        <v>0</v>
      </c>
      <c r="D30" s="96">
        <v>0</v>
      </c>
      <c r="E30" s="96">
        <v>0</v>
      </c>
      <c r="F30" s="100">
        <f>SUM(B30:E30)</f>
        <v>1349793.2</v>
      </c>
      <c r="G30" s="101"/>
    </row>
    <row r="31" spans="1:9" s="308" customFormat="1" ht="15" customHeight="1">
      <c r="A31" s="308" t="s">
        <v>204</v>
      </c>
      <c r="B31" s="100">
        <f>-'Income Statement-2'!B37</f>
        <v>285918</v>
      </c>
      <c r="C31" s="96">
        <v>0</v>
      </c>
      <c r="D31" s="96">
        <v>0</v>
      </c>
      <c r="E31" s="96">
        <v>0</v>
      </c>
      <c r="F31" s="100">
        <f>SUM(B31:E31)</f>
        <v>285918</v>
      </c>
      <c r="G31" s="100"/>
      <c r="H31" s="309"/>
      <c r="I31" s="310"/>
    </row>
    <row r="32" spans="1:6" s="98" customFormat="1" ht="15" customHeight="1" thickBot="1">
      <c r="A32" s="103" t="s">
        <v>74</v>
      </c>
      <c r="B32" s="113">
        <f>SUM(B29:B31)</f>
        <v>1635711.2</v>
      </c>
      <c r="C32" s="113">
        <f>SUM(C29:C31)</f>
        <v>15822</v>
      </c>
      <c r="D32" s="130">
        <f>SUM(D29:D31)</f>
        <v>0</v>
      </c>
      <c r="E32" s="130">
        <f>SUM(E29:E31)</f>
        <v>0</v>
      </c>
      <c r="F32" s="112">
        <f>SUM(F29:F31)</f>
        <v>1651533.2</v>
      </c>
    </row>
    <row r="33" spans="1:6" s="98" customFormat="1" ht="15" customHeight="1" thickTop="1">
      <c r="A33" s="103"/>
      <c r="B33" s="107"/>
      <c r="C33" s="107"/>
      <c r="D33" s="107"/>
      <c r="E33" s="100"/>
      <c r="F33" s="100"/>
    </row>
    <row r="34" spans="1:6" s="98" customFormat="1" ht="15" customHeight="1">
      <c r="A34" s="90" t="s">
        <v>88</v>
      </c>
      <c r="B34" s="92"/>
      <c r="C34" s="92"/>
      <c r="D34" s="92"/>
      <c r="E34" s="108"/>
      <c r="F34" s="100"/>
    </row>
    <row r="35" spans="1:7" s="98" customFormat="1" ht="15" customHeight="1">
      <c r="A35" s="103" t="s">
        <v>89</v>
      </c>
      <c r="B35" s="99">
        <f>'Earned Incurred YTD-6'!B49</f>
        <v>11914.7</v>
      </c>
      <c r="C35" s="96">
        <v>0</v>
      </c>
      <c r="D35" s="96">
        <v>0</v>
      </c>
      <c r="E35" s="96">
        <v>0</v>
      </c>
      <c r="F35" s="100">
        <f>SUM(B35:E35)</f>
        <v>11914.7</v>
      </c>
      <c r="G35" s="101"/>
    </row>
    <row r="36" spans="1:8" s="98" customFormat="1" ht="15" customHeight="1">
      <c r="A36" s="103" t="s">
        <v>90</v>
      </c>
      <c r="B36" s="96">
        <v>0</v>
      </c>
      <c r="C36" s="100">
        <v>1498439.1800000002</v>
      </c>
      <c r="D36" s="96">
        <v>0</v>
      </c>
      <c r="E36" s="96">
        <v>0</v>
      </c>
      <c r="F36" s="100">
        <f>SUM(B36:E36)</f>
        <v>1498439.1800000002</v>
      </c>
      <c r="G36" s="101"/>
      <c r="H36" s="101"/>
    </row>
    <row r="37" spans="1:8" s="98" customFormat="1" ht="15" customHeight="1">
      <c r="A37" s="103" t="s">
        <v>91</v>
      </c>
      <c r="B37" s="100">
        <f>'Income Statement-2'!D39</f>
        <v>27195.1</v>
      </c>
      <c r="C37" s="96">
        <v>0</v>
      </c>
      <c r="D37" s="96">
        <v>0</v>
      </c>
      <c r="E37" s="96">
        <v>0</v>
      </c>
      <c r="F37" s="100">
        <f>SUM(B37:E37)</f>
        <v>27195.1</v>
      </c>
      <c r="G37" s="101"/>
      <c r="H37" s="102"/>
    </row>
    <row r="38" spans="1:7" s="98" customFormat="1" ht="15" customHeight="1" thickBot="1">
      <c r="A38" s="103" t="s">
        <v>74</v>
      </c>
      <c r="B38" s="113">
        <f>SUM(B35:B37)</f>
        <v>39109.8</v>
      </c>
      <c r="C38" s="113">
        <f>SUM(C35:C37)</f>
        <v>1498439.1800000002</v>
      </c>
      <c r="D38" s="105">
        <f>SUM(D35:D37)</f>
        <v>0</v>
      </c>
      <c r="E38" s="105">
        <f>SUM(E35:E37)</f>
        <v>0</v>
      </c>
      <c r="F38" s="112">
        <f>SUM(F35:F37)</f>
        <v>1537548.9800000002</v>
      </c>
      <c r="G38" s="101"/>
    </row>
    <row r="39" spans="1:6" s="98" customFormat="1" ht="15" customHeight="1" thickTop="1">
      <c r="A39" s="103"/>
      <c r="B39" s="107"/>
      <c r="C39" s="107"/>
      <c r="D39" s="107"/>
      <c r="E39" s="100"/>
      <c r="F39" s="96"/>
    </row>
    <row r="40" spans="1:6" s="98" customFormat="1" ht="15" customHeight="1" thickBot="1">
      <c r="A40" s="90" t="s">
        <v>92</v>
      </c>
      <c r="B40" s="111">
        <f>B26-B32+B38</f>
        <v>587315.6400000011</v>
      </c>
      <c r="C40" s="111">
        <f>C26-C32+C38</f>
        <v>-3617861.189999999</v>
      </c>
      <c r="D40" s="111">
        <f>D26-D32+D38</f>
        <v>-547009.45</v>
      </c>
      <c r="E40" s="105">
        <f>E26-E32+E38</f>
        <v>0</v>
      </c>
      <c r="F40" s="112">
        <f>F26-F32+F38</f>
        <v>-3577553.999999998</v>
      </c>
    </row>
    <row r="41" spans="1:6" s="98" customFormat="1" ht="15" customHeight="1" thickTop="1">
      <c r="A41" s="103"/>
      <c r="B41" s="107"/>
      <c r="C41" s="107"/>
      <c r="D41" s="107"/>
      <c r="E41" s="100"/>
      <c r="F41" s="100"/>
    </row>
    <row r="42" spans="1:6" s="98" customFormat="1" ht="15" customHeight="1">
      <c r="A42" s="114" t="s">
        <v>93</v>
      </c>
      <c r="B42" s="115"/>
      <c r="C42" s="115"/>
      <c r="D42" s="115"/>
      <c r="E42" s="100"/>
      <c r="F42" s="100"/>
    </row>
    <row r="43" spans="1:6" s="98" customFormat="1" ht="15" customHeight="1">
      <c r="A43" s="103" t="s">
        <v>35</v>
      </c>
      <c r="B43" s="100">
        <f>'Premiums YTD-8'!B18</f>
        <v>5554113.430000001</v>
      </c>
      <c r="C43" s="96">
        <f>'Premiums YTD-8'!C18</f>
        <v>0</v>
      </c>
      <c r="D43" s="96">
        <f>'Premiums YTD-8'!D18</f>
        <v>0</v>
      </c>
      <c r="E43" s="96">
        <f>'Premiums YTD-8'!E18</f>
        <v>0</v>
      </c>
      <c r="F43" s="100">
        <f>SUM(B43:E43)</f>
        <v>5554113.430000001</v>
      </c>
    </row>
    <row r="44" spans="1:6" s="98" customFormat="1" ht="15" customHeight="1">
      <c r="A44" s="103" t="s">
        <v>94</v>
      </c>
      <c r="B44" s="100">
        <f>'Losses Incurred YTD-10'!B18+'Losses Incurred YTD-10'!B24</f>
        <v>7694673.45</v>
      </c>
      <c r="C44" s="100">
        <f>'Losses Incurred YTD-10'!C18+'Losses Incurred YTD-10'!C24</f>
        <v>1502130.07</v>
      </c>
      <c r="D44" s="100">
        <f>'Losses Incurred YTD-10'!D18+'Losses Incurred YTD-10'!D24</f>
        <v>52262.79</v>
      </c>
      <c r="E44" s="96">
        <f>'Losses Incurred YTD-10'!E18+'Losses Incurred YTD-10'!E24</f>
        <v>0</v>
      </c>
      <c r="F44" s="100">
        <f>SUM(B44:E44)</f>
        <v>9249066.309999999</v>
      </c>
    </row>
    <row r="45" spans="1:6" s="98" customFormat="1" ht="15" customHeight="1">
      <c r="A45" s="103" t="s">
        <v>95</v>
      </c>
      <c r="B45" s="100">
        <f>'Loss Expenses YTD-12'!B18</f>
        <v>205071.8</v>
      </c>
      <c r="C45" s="100">
        <f>'Loss Expenses YTD-12'!C18</f>
        <v>142893.41999999998</v>
      </c>
      <c r="D45" s="100">
        <f>'Loss Expenses YTD-12'!D18</f>
        <v>31637.39</v>
      </c>
      <c r="E45" s="96">
        <f>'Loss Expenses YTD-12'!E18</f>
        <v>0</v>
      </c>
      <c r="F45" s="100">
        <f>SUM(B45:E45)-1</f>
        <v>379601.61</v>
      </c>
    </row>
    <row r="46" spans="1:6" s="98" customFormat="1" ht="15" customHeight="1">
      <c r="A46" s="103" t="s">
        <v>96</v>
      </c>
      <c r="B46" s="100">
        <f>'Earned Incurred YTD-6'!B41</f>
        <v>150194.15999999997</v>
      </c>
      <c r="C46" s="96">
        <v>0</v>
      </c>
      <c r="D46" s="96">
        <v>0</v>
      </c>
      <c r="E46" s="96">
        <v>0</v>
      </c>
      <c r="F46" s="100">
        <f>SUM(B46:E46)</f>
        <v>150194.15999999997</v>
      </c>
    </row>
    <row r="47" spans="1:6" s="98" customFormat="1" ht="15" customHeight="1">
      <c r="A47" s="103" t="s">
        <v>97</v>
      </c>
      <c r="B47" s="100">
        <f>'Earned Incurred YTD-6'!B33</f>
        <v>39370.68</v>
      </c>
      <c r="C47" s="96">
        <v>0</v>
      </c>
      <c r="D47" s="96">
        <v>0</v>
      </c>
      <c r="E47" s="96">
        <v>0</v>
      </c>
      <c r="F47" s="100">
        <f>SUM(B47:E47)</f>
        <v>39370.68</v>
      </c>
    </row>
    <row r="48" spans="1:7" s="98" customFormat="1" ht="15" customHeight="1" thickBot="1">
      <c r="A48" s="117" t="s">
        <v>74</v>
      </c>
      <c r="B48" s="113">
        <f>SUM(B43:B47)-1</f>
        <v>13643422.520000001</v>
      </c>
      <c r="C48" s="113">
        <f>SUM(C43:C47)</f>
        <v>1645023.49</v>
      </c>
      <c r="D48" s="113">
        <f>SUM(D43:D47)</f>
        <v>83900.18</v>
      </c>
      <c r="E48" s="105">
        <f>SUM(E43:E47)</f>
        <v>0</v>
      </c>
      <c r="F48" s="106">
        <f>SUM(F43:F47)</f>
        <v>15372346.189999998</v>
      </c>
      <c r="G48" s="101"/>
    </row>
    <row r="49" spans="1:6" s="98" customFormat="1" ht="15" customHeight="1" thickTop="1">
      <c r="A49" s="103"/>
      <c r="B49" s="107"/>
      <c r="C49" s="107"/>
      <c r="D49" s="107"/>
      <c r="E49" s="100"/>
      <c r="F49" s="100"/>
    </row>
    <row r="50" spans="1:6" s="98" customFormat="1" ht="15" customHeight="1">
      <c r="A50" s="114" t="s">
        <v>98</v>
      </c>
      <c r="B50" s="115"/>
      <c r="C50" s="115"/>
      <c r="D50" s="115"/>
      <c r="E50" s="100"/>
      <c r="F50" s="100"/>
    </row>
    <row r="51" spans="1:7" s="98" customFormat="1" ht="15" customHeight="1">
      <c r="A51" s="103" t="s">
        <v>35</v>
      </c>
      <c r="B51" s="96">
        <f>'Premiums YTD-8'!B24</f>
        <v>0</v>
      </c>
      <c r="C51" s="100">
        <f>'Premiums YTD-8'!C24</f>
        <v>5718238.84</v>
      </c>
      <c r="D51" s="96">
        <f>'Premiums YTD-8'!D24</f>
        <v>0</v>
      </c>
      <c r="E51" s="96">
        <f>'Premiums YTD-8'!E24</f>
        <v>0</v>
      </c>
      <c r="F51" s="100">
        <f>SUM(B51:E51)</f>
        <v>5718238.84</v>
      </c>
      <c r="G51" s="116"/>
    </row>
    <row r="52" spans="1:7" s="98" customFormat="1" ht="15" customHeight="1">
      <c r="A52" s="103" t="s">
        <v>94</v>
      </c>
      <c r="B52" s="96">
        <f>'Losses Incurred YTD-10'!B31</f>
        <v>0</v>
      </c>
      <c r="C52" s="100">
        <f>'Losses Incurred YTD-10'!C31</f>
        <v>1890907.27</v>
      </c>
      <c r="D52" s="100">
        <f>'Losses Incurred YTD-10'!D31</f>
        <v>785640.52</v>
      </c>
      <c r="E52" s="100">
        <f>'Losses Incurred YTD-10'!E31</f>
        <v>208000</v>
      </c>
      <c r="F52" s="100">
        <f>SUM(B52:E52)</f>
        <v>2884547.79</v>
      </c>
      <c r="G52" s="101"/>
    </row>
    <row r="53" spans="1:7" s="98" customFormat="1" ht="15" customHeight="1">
      <c r="A53" s="103" t="s">
        <v>99</v>
      </c>
      <c r="B53" s="96">
        <f>'Loss Expenses YTD-12'!B24</f>
        <v>0</v>
      </c>
      <c r="C53" s="100">
        <f>'Loss Expenses YTD-12'!C24</f>
        <v>323366.19999999995</v>
      </c>
      <c r="D53" s="100">
        <f>'Loss Expenses YTD-12'!D24</f>
        <v>130388.31</v>
      </c>
      <c r="E53" s="100">
        <f>'Loss Expenses YTD-12'!E24</f>
        <v>38753.63</v>
      </c>
      <c r="F53" s="100">
        <f>SUM(B53:E53)</f>
        <v>492508.13999999996</v>
      </c>
      <c r="G53" s="101"/>
    </row>
    <row r="54" spans="1:9" s="98" customFormat="1" ht="15" customHeight="1">
      <c r="A54" s="103" t="s">
        <v>96</v>
      </c>
      <c r="B54" s="96">
        <v>0</v>
      </c>
      <c r="C54" s="100">
        <f>'Earned Incurred YTD-6'!B42</f>
        <v>211065</v>
      </c>
      <c r="D54" s="96">
        <v>0</v>
      </c>
      <c r="E54" s="96">
        <v>0</v>
      </c>
      <c r="F54" s="100">
        <f>SUM(B54:E54)</f>
        <v>211065</v>
      </c>
      <c r="G54" s="101"/>
      <c r="H54" s="101"/>
      <c r="I54" s="101"/>
    </row>
    <row r="55" spans="1:7" s="98" customFormat="1" ht="15" customHeight="1">
      <c r="A55" s="103" t="s">
        <v>97</v>
      </c>
      <c r="B55" s="96">
        <v>0</v>
      </c>
      <c r="C55" s="100">
        <f>'Earned Incurred YTD-6'!B34</f>
        <v>41163.77</v>
      </c>
      <c r="D55" s="96">
        <v>0</v>
      </c>
      <c r="E55" s="96">
        <v>0</v>
      </c>
      <c r="F55" s="100">
        <f>SUM(B55:E55)</f>
        <v>41163.77</v>
      </c>
      <c r="G55" s="101"/>
    </row>
    <row r="56" spans="1:6" s="98" customFormat="1" ht="15" customHeight="1" thickBot="1">
      <c r="A56" s="103" t="s">
        <v>74</v>
      </c>
      <c r="B56" s="105">
        <f>SUM(B51:B55)</f>
        <v>0</v>
      </c>
      <c r="C56" s="113">
        <f>SUM(C51:C55)</f>
        <v>8184741.079999999</v>
      </c>
      <c r="D56" s="113">
        <f>SUM(D51:D55)</f>
        <v>916028.8300000001</v>
      </c>
      <c r="E56" s="113">
        <f>SUM(E51:E55)</f>
        <v>246753.63</v>
      </c>
      <c r="F56" s="106">
        <f>SUM(F51:F55)</f>
        <v>9347523.54</v>
      </c>
    </row>
    <row r="57" spans="1:6" s="98" customFormat="1" ht="15" customHeight="1" thickTop="1">
      <c r="A57" s="103"/>
      <c r="B57" s="107"/>
      <c r="C57" s="107"/>
      <c r="D57" s="107"/>
      <c r="E57" s="107"/>
      <c r="F57" s="24"/>
    </row>
    <row r="58" spans="1:7" s="98" customFormat="1" ht="15" customHeight="1" thickBot="1">
      <c r="A58" s="110" t="s">
        <v>100</v>
      </c>
      <c r="B58" s="118">
        <f>B40-B48+B56</f>
        <v>-13056106.88</v>
      </c>
      <c r="C58" s="118">
        <f>C40-C48+C56+1</f>
        <v>2921857.4000000004</v>
      </c>
      <c r="D58" s="118">
        <f>D40-D48+D56+1</f>
        <v>285120.2000000002</v>
      </c>
      <c r="E58" s="118">
        <f>E40-E48+E56</f>
        <v>246753.63</v>
      </c>
      <c r="F58" s="118">
        <f>F40-F48+F56</f>
        <v>-9602376.649999999</v>
      </c>
      <c r="G58" s="101"/>
    </row>
    <row r="59" spans="1:6" s="98" customFormat="1" ht="15" customHeight="1" thickTop="1">
      <c r="A59" s="103"/>
      <c r="B59" s="101"/>
      <c r="C59" s="101"/>
      <c r="D59" s="107"/>
      <c r="E59" s="107"/>
      <c r="F59" s="68"/>
    </row>
    <row r="60" spans="2:6" s="98" customFormat="1" ht="15" customHeight="1">
      <c r="B60" s="101"/>
      <c r="C60" s="101"/>
      <c r="D60" s="107"/>
      <c r="E60" s="107"/>
      <c r="F60" s="107"/>
    </row>
    <row r="61" spans="2:6" s="98" customFormat="1" ht="15" customHeight="1">
      <c r="B61" s="101"/>
      <c r="C61" s="101"/>
      <c r="D61" s="107"/>
      <c r="E61" s="107"/>
      <c r="F61" s="107"/>
    </row>
    <row r="62" spans="2:6" s="98" customFormat="1" ht="15" customHeight="1">
      <c r="B62" s="101"/>
      <c r="C62" s="101"/>
      <c r="D62" s="107"/>
      <c r="E62" s="107"/>
      <c r="F62" s="107"/>
    </row>
    <row r="63" spans="1:6" s="98" customFormat="1" ht="15" customHeight="1">
      <c r="A63" s="93"/>
      <c r="B63" s="119"/>
      <c r="C63" s="119"/>
      <c r="D63" s="107"/>
      <c r="E63" s="107"/>
      <c r="F63" s="107"/>
    </row>
    <row r="64" spans="2:6" s="98" customFormat="1" ht="15" customHeight="1">
      <c r="B64" s="101"/>
      <c r="C64" s="101"/>
      <c r="D64" s="107"/>
      <c r="E64" s="107"/>
      <c r="F64" s="24"/>
    </row>
    <row r="65" spans="2:6" s="98" customFormat="1" ht="15" customHeight="1">
      <c r="B65" s="101"/>
      <c r="C65" s="101"/>
      <c r="D65" s="107"/>
      <c r="E65" s="107"/>
      <c r="F65" s="24"/>
    </row>
    <row r="66" spans="2:6" s="98" customFormat="1" ht="15" customHeight="1">
      <c r="B66" s="101"/>
      <c r="C66" s="101"/>
      <c r="D66" s="107"/>
      <c r="E66" s="107"/>
      <c r="F66" s="24"/>
    </row>
    <row r="67" spans="2:6" s="98" customFormat="1" ht="15" customHeight="1">
      <c r="B67" s="101"/>
      <c r="C67" s="101"/>
      <c r="D67" s="107"/>
      <c r="E67" s="107"/>
      <c r="F67" s="24"/>
    </row>
    <row r="68" spans="2:6" s="98" customFormat="1" ht="15" customHeight="1">
      <c r="B68" s="101"/>
      <c r="C68" s="101"/>
      <c r="D68" s="107"/>
      <c r="E68" s="107"/>
      <c r="F68" s="24"/>
    </row>
    <row r="69" spans="2:6" s="98" customFormat="1" ht="15" customHeight="1">
      <c r="B69" s="101"/>
      <c r="C69" s="101"/>
      <c r="D69" s="107"/>
      <c r="E69" s="107"/>
      <c r="F69" s="24"/>
    </row>
    <row r="70" spans="2:6" s="98" customFormat="1" ht="15" customHeight="1">
      <c r="B70" s="101"/>
      <c r="C70" s="101"/>
      <c r="D70" s="107"/>
      <c r="E70" s="107"/>
      <c r="F70" s="24"/>
    </row>
    <row r="71" spans="2:6" s="98" customFormat="1" ht="15" customHeight="1">
      <c r="B71" s="101"/>
      <c r="C71" s="101"/>
      <c r="D71" s="107"/>
      <c r="E71" s="107"/>
      <c r="F71" s="24"/>
    </row>
    <row r="72" spans="2:6" s="98" customFormat="1" ht="15" customHeight="1">
      <c r="B72" s="101"/>
      <c r="C72" s="101"/>
      <c r="D72" s="107"/>
      <c r="E72" s="107"/>
      <c r="F72" s="24"/>
    </row>
    <row r="73" spans="2:6" s="98" customFormat="1" ht="15" customHeight="1">
      <c r="B73" s="101"/>
      <c r="C73" s="101"/>
      <c r="D73" s="107"/>
      <c r="E73" s="107"/>
      <c r="F73" s="24"/>
    </row>
    <row r="74" spans="2:6" s="98" customFormat="1" ht="15" customHeight="1">
      <c r="B74" s="101"/>
      <c r="C74" s="101"/>
      <c r="D74" s="107"/>
      <c r="E74" s="107"/>
      <c r="F74" s="24"/>
    </row>
    <row r="75" spans="2:6" s="98" customFormat="1" ht="15" customHeight="1">
      <c r="B75" s="101"/>
      <c r="C75" s="101"/>
      <c r="D75" s="107"/>
      <c r="E75" s="107"/>
      <c r="F75" s="24"/>
    </row>
    <row r="76" spans="2:6" s="98" customFormat="1" ht="15" customHeight="1">
      <c r="B76" s="101"/>
      <c r="C76" s="101"/>
      <c r="D76" s="107"/>
      <c r="E76" s="107"/>
      <c r="F76" s="24"/>
    </row>
    <row r="77" spans="2:6" s="98" customFormat="1" ht="15" customHeight="1">
      <c r="B77" s="101"/>
      <c r="C77" s="101"/>
      <c r="D77" s="107"/>
      <c r="E77" s="107"/>
      <c r="F77" s="24"/>
    </row>
    <row r="78" spans="2:6" s="98" customFormat="1" ht="15" customHeight="1">
      <c r="B78" s="101"/>
      <c r="C78" s="101"/>
      <c r="D78" s="107"/>
      <c r="E78" s="107"/>
      <c r="F78" s="24"/>
    </row>
    <row r="79" spans="2:6" s="98" customFormat="1" ht="15" customHeight="1">
      <c r="B79" s="101"/>
      <c r="C79" s="101"/>
      <c r="D79" s="107"/>
      <c r="E79" s="107"/>
      <c r="F79" s="24"/>
    </row>
    <row r="80" spans="2:6" s="98" customFormat="1" ht="15" customHeight="1">
      <c r="B80" s="101"/>
      <c r="C80" s="101"/>
      <c r="D80" s="107"/>
      <c r="E80" s="107"/>
      <c r="F80" s="24"/>
    </row>
    <row r="81" spans="2:6" s="98" customFormat="1" ht="15" customHeight="1">
      <c r="B81" s="101"/>
      <c r="C81" s="101"/>
      <c r="D81" s="107"/>
      <c r="E81" s="107"/>
      <c r="F81" s="24"/>
    </row>
    <row r="82" spans="2:6" s="98" customFormat="1" ht="15" customHeight="1">
      <c r="B82" s="101"/>
      <c r="C82" s="101"/>
      <c r="D82" s="107"/>
      <c r="E82" s="107"/>
      <c r="F82" s="24"/>
    </row>
    <row r="83" spans="2:6" s="98" customFormat="1" ht="15" customHeight="1">
      <c r="B83" s="101"/>
      <c r="C83" s="101"/>
      <c r="D83" s="107"/>
      <c r="E83" s="107"/>
      <c r="F83" s="24"/>
    </row>
    <row r="84" spans="2:6" s="98" customFormat="1" ht="15" customHeight="1">
      <c r="B84" s="101"/>
      <c r="C84" s="101"/>
      <c r="D84" s="107"/>
      <c r="E84" s="107"/>
      <c r="F84" s="24"/>
    </row>
    <row r="85" spans="2:6" s="98" customFormat="1" ht="15" customHeight="1">
      <c r="B85" s="101"/>
      <c r="C85" s="101"/>
      <c r="D85" s="107"/>
      <c r="E85" s="107"/>
      <c r="F85" s="24"/>
    </row>
    <row r="86" spans="2:6" s="98" customFormat="1" ht="15" customHeight="1">
      <c r="B86" s="101"/>
      <c r="C86" s="101"/>
      <c r="D86" s="107"/>
      <c r="E86" s="107"/>
      <c r="F86" s="24"/>
    </row>
    <row r="87" spans="2:6" s="98" customFormat="1" ht="15" customHeight="1">
      <c r="B87" s="101"/>
      <c r="C87" s="101"/>
      <c r="D87" s="107"/>
      <c r="E87" s="107"/>
      <c r="F87" s="24"/>
    </row>
    <row r="88" spans="2:6" s="98" customFormat="1" ht="15" customHeight="1">
      <c r="B88" s="101"/>
      <c r="C88" s="101"/>
      <c r="D88" s="107"/>
      <c r="E88" s="107"/>
      <c r="F88" s="24"/>
    </row>
    <row r="89" spans="2:6" s="98" customFormat="1" ht="15" customHeight="1">
      <c r="B89" s="101"/>
      <c r="C89" s="101"/>
      <c r="D89" s="107"/>
      <c r="E89" s="107"/>
      <c r="F89" s="24"/>
    </row>
    <row r="90" spans="2:6" s="98" customFormat="1" ht="15" customHeight="1">
      <c r="B90" s="101"/>
      <c r="C90" s="101"/>
      <c r="D90" s="107"/>
      <c r="E90" s="107"/>
      <c r="F90" s="24"/>
    </row>
  </sheetData>
  <sheetProtection/>
  <mergeCells count="4">
    <mergeCell ref="A1:F1"/>
    <mergeCell ref="A2:F2"/>
    <mergeCell ref="A3:F3"/>
    <mergeCell ref="A4:F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48" customWidth="1"/>
    <col min="2" max="4" width="18.7109375" style="176" customWidth="1"/>
    <col min="5" max="5" width="15.7109375" style="177" customWidth="1"/>
    <col min="6" max="16384" width="15.7109375" style="48" customWidth="1"/>
  </cols>
  <sheetData>
    <row r="1" spans="1:5" s="132" customFormat="1" ht="30" customHeight="1">
      <c r="A1" s="323" t="s">
        <v>0</v>
      </c>
      <c r="B1" s="324"/>
      <c r="C1" s="324"/>
      <c r="D1" s="325"/>
      <c r="E1" s="131"/>
    </row>
    <row r="2" spans="1:5" s="134" customFormat="1" ht="15" customHeight="1">
      <c r="A2" s="326"/>
      <c r="B2" s="327"/>
      <c r="C2" s="327"/>
      <c r="D2" s="328"/>
      <c r="E2" s="133"/>
    </row>
    <row r="3" spans="1:5" s="134" customFormat="1" ht="15" customHeight="1">
      <c r="A3" s="329" t="s">
        <v>103</v>
      </c>
      <c r="B3" s="330"/>
      <c r="C3" s="330"/>
      <c r="D3" s="331"/>
      <c r="E3" s="133"/>
    </row>
    <row r="4" spans="1:5" s="134" customFormat="1" ht="15" customHeight="1">
      <c r="A4" s="329" t="s">
        <v>104</v>
      </c>
      <c r="B4" s="330"/>
      <c r="C4" s="330"/>
      <c r="D4" s="331"/>
      <c r="E4" s="133"/>
    </row>
    <row r="5" spans="1:5" s="134" customFormat="1" ht="15" customHeight="1">
      <c r="A5" s="329" t="s">
        <v>192</v>
      </c>
      <c r="B5" s="330"/>
      <c r="C5" s="330"/>
      <c r="D5" s="331"/>
      <c r="E5" s="133"/>
    </row>
    <row r="6" spans="1:5" s="134" customFormat="1" ht="15" customHeight="1">
      <c r="A6" s="135"/>
      <c r="B6" s="136"/>
      <c r="C6" s="136"/>
      <c r="D6" s="137"/>
      <c r="E6" s="133"/>
    </row>
    <row r="7" spans="1:5" s="54" customFormat="1" ht="15" customHeight="1">
      <c r="A7" s="138"/>
      <c r="B7" s="136"/>
      <c r="C7" s="136"/>
      <c r="D7" s="137"/>
      <c r="E7" s="62"/>
    </row>
    <row r="8" spans="1:5" s="54" customFormat="1" ht="15" customHeight="1">
      <c r="A8" s="139" t="s">
        <v>105</v>
      </c>
      <c r="B8" s="140" t="s">
        <v>194</v>
      </c>
      <c r="C8" s="141"/>
      <c r="D8" s="142"/>
      <c r="E8" s="62"/>
    </row>
    <row r="9" spans="1:5" s="54" customFormat="1" ht="15" customHeight="1">
      <c r="A9" s="139"/>
      <c r="B9" s="143" t="s">
        <v>47</v>
      </c>
      <c r="C9" s="144"/>
      <c r="D9" s="145"/>
      <c r="E9" s="62"/>
    </row>
    <row r="10" spans="1:5" s="54" customFormat="1" ht="15" customHeight="1">
      <c r="A10" s="146"/>
      <c r="B10" s="147" t="s">
        <v>69</v>
      </c>
      <c r="C10" s="148"/>
      <c r="D10" s="149"/>
      <c r="E10" s="62"/>
    </row>
    <row r="11" spans="1:5" s="54" customFormat="1" ht="15" customHeight="1">
      <c r="A11" s="150" t="s">
        <v>106</v>
      </c>
      <c r="B11" s="151"/>
      <c r="C11" s="23">
        <f>'Premiums QTD-7'!F12</f>
        <v>2684864</v>
      </c>
      <c r="D11" s="149"/>
      <c r="E11" s="62"/>
    </row>
    <row r="12" spans="1:5" s="54" customFormat="1" ht="15" customHeight="1">
      <c r="A12" s="150"/>
      <c r="B12" s="151"/>
      <c r="C12" s="24"/>
      <c r="D12" s="149"/>
      <c r="E12" s="62"/>
    </row>
    <row r="13" spans="1:5" s="54" customFormat="1" ht="15" customHeight="1">
      <c r="A13" s="152" t="s">
        <v>107</v>
      </c>
      <c r="B13" s="151">
        <f>'Premiums QTD-7'!F18</f>
        <v>5554113.430000001</v>
      </c>
      <c r="C13" s="31"/>
      <c r="D13" s="149"/>
      <c r="E13" s="62"/>
    </row>
    <row r="14" spans="1:5" s="54" customFormat="1" ht="15" customHeight="1">
      <c r="A14" s="152" t="s">
        <v>108</v>
      </c>
      <c r="B14" s="153">
        <f>'Premiums QTD-7'!F24</f>
        <v>5666398.99</v>
      </c>
      <c r="C14" s="31"/>
      <c r="D14" s="149"/>
      <c r="E14" s="62"/>
    </row>
    <row r="15" spans="1:5" s="54" customFormat="1" ht="15" customHeight="1">
      <c r="A15" s="152" t="s">
        <v>109</v>
      </c>
      <c r="B15" s="151"/>
      <c r="C15" s="154">
        <f>B14-B13</f>
        <v>112285.55999999959</v>
      </c>
      <c r="D15" s="149"/>
      <c r="E15" s="62"/>
    </row>
    <row r="16" spans="1:5" s="54" customFormat="1" ht="15" customHeight="1">
      <c r="A16" s="150" t="s">
        <v>110</v>
      </c>
      <c r="B16" s="151"/>
      <c r="C16" s="31"/>
      <c r="D16" s="155">
        <f>C11+C15</f>
        <v>2797149.5599999996</v>
      </c>
      <c r="E16" s="62"/>
    </row>
    <row r="17" spans="1:4" s="54" customFormat="1" ht="15" customHeight="1">
      <c r="A17" s="152" t="s">
        <v>111</v>
      </c>
      <c r="B17" s="151"/>
      <c r="C17" s="31">
        <f>'[2]Loss Expenses Paid QTD-15'!E30</f>
        <v>2980288.99</v>
      </c>
      <c r="D17" s="149"/>
    </row>
    <row r="18" spans="1:4" s="54" customFormat="1" ht="15" customHeight="1">
      <c r="A18" s="152" t="s">
        <v>112</v>
      </c>
      <c r="B18" s="151"/>
      <c r="C18" s="156">
        <f>-'[1]4Q12 Trial Balance'!D280</f>
        <v>1439.03</v>
      </c>
      <c r="D18" s="149"/>
    </row>
    <row r="19" spans="1:5" s="54" customFormat="1" ht="15" customHeight="1">
      <c r="A19" s="150" t="s">
        <v>113</v>
      </c>
      <c r="B19" s="151"/>
      <c r="C19" s="31">
        <f>C17-C18</f>
        <v>2978849.9600000004</v>
      </c>
      <c r="D19" s="149"/>
      <c r="E19" s="62"/>
    </row>
    <row r="20" spans="1:5" s="54" customFormat="1" ht="15" customHeight="1">
      <c r="A20" s="152" t="s">
        <v>114</v>
      </c>
      <c r="B20" s="151">
        <f>'Losses Incurred QTD-9'!F18+'Losses Incurred QTD-9'!F24</f>
        <v>9249066.31</v>
      </c>
      <c r="C20" s="31" t="s">
        <v>69</v>
      </c>
      <c r="D20" s="149"/>
      <c r="E20" s="62"/>
    </row>
    <row r="21" spans="1:5" s="54" customFormat="1" ht="15" customHeight="1">
      <c r="A21" s="152" t="s">
        <v>115</v>
      </c>
      <c r="B21" s="153">
        <f>'Losses Incurred QTD-9'!F31</f>
        <v>1803277.3699999999</v>
      </c>
      <c r="C21" s="31"/>
      <c r="D21" s="149"/>
      <c r="E21" s="62"/>
    </row>
    <row r="22" spans="1:5" s="54" customFormat="1" ht="15" customHeight="1">
      <c r="A22" s="152" t="s">
        <v>116</v>
      </c>
      <c r="B22" s="157"/>
      <c r="C22" s="154">
        <f>B20-B21</f>
        <v>7445788.94</v>
      </c>
      <c r="D22" s="149"/>
      <c r="E22" s="62"/>
    </row>
    <row r="23" spans="1:6" s="54" customFormat="1" ht="15" customHeight="1">
      <c r="A23" s="150" t="s">
        <v>117</v>
      </c>
      <c r="B23" s="151"/>
      <c r="C23" s="31"/>
      <c r="D23" s="149">
        <f>C19+C22</f>
        <v>10424638.9</v>
      </c>
      <c r="E23" s="31"/>
      <c r="F23" s="63"/>
    </row>
    <row r="24" spans="1:5" s="54" customFormat="1" ht="15" customHeight="1">
      <c r="A24" s="152" t="s">
        <v>118</v>
      </c>
      <c r="B24" s="151"/>
      <c r="C24" s="31">
        <f>'[2]Loss Expenses Paid QTD-15'!C30</f>
        <v>437156.73000000004</v>
      </c>
      <c r="D24" s="149"/>
      <c r="E24" s="158"/>
    </row>
    <row r="25" spans="1:5" s="54" customFormat="1" ht="15" customHeight="1">
      <c r="A25" s="152" t="s">
        <v>119</v>
      </c>
      <c r="B25" s="151"/>
      <c r="C25" s="156">
        <f>'[2]Loss Expenses Paid QTD-15'!I30</f>
        <v>186189.54</v>
      </c>
      <c r="D25" s="149"/>
      <c r="E25" s="158"/>
    </row>
    <row r="26" spans="1:5" s="54" customFormat="1" ht="15" customHeight="1">
      <c r="A26" s="150" t="s">
        <v>120</v>
      </c>
      <c r="B26" s="151"/>
      <c r="C26" s="31">
        <f>C24+C25+1</f>
        <v>623347.27</v>
      </c>
      <c r="D26" s="149"/>
      <c r="E26" s="31"/>
    </row>
    <row r="27" spans="1:5" s="54" customFormat="1" ht="15" customHeight="1">
      <c r="A27" s="152" t="s">
        <v>121</v>
      </c>
      <c r="B27" s="151">
        <f>'Loss Expenses QTD-11'!F18</f>
        <v>379601.61</v>
      </c>
      <c r="C27" s="31"/>
      <c r="D27" s="149"/>
      <c r="E27" s="158"/>
    </row>
    <row r="28" spans="1:5" s="54" customFormat="1" ht="15" customHeight="1">
      <c r="A28" s="152" t="s">
        <v>122</v>
      </c>
      <c r="B28" s="153">
        <f>'Loss Expenses QTD-11'!F24</f>
        <v>438369.14</v>
      </c>
      <c r="C28" s="31"/>
      <c r="D28" s="149"/>
      <c r="E28" s="31"/>
    </row>
    <row r="29" spans="1:7" s="54" customFormat="1" ht="15" customHeight="1">
      <c r="A29" s="152" t="s">
        <v>123</v>
      </c>
      <c r="B29" s="151"/>
      <c r="C29" s="154">
        <f>B27-B28+1</f>
        <v>-58766.53000000003</v>
      </c>
      <c r="D29" s="149"/>
      <c r="E29" s="158"/>
      <c r="G29" s="63"/>
    </row>
    <row r="30" spans="1:6" s="54" customFormat="1" ht="15" customHeight="1">
      <c r="A30" s="150" t="s">
        <v>124</v>
      </c>
      <c r="B30" s="151"/>
      <c r="C30" s="31"/>
      <c r="D30" s="159">
        <f>C26+C29-1</f>
        <v>564579.74</v>
      </c>
      <c r="E30" s="31"/>
      <c r="F30" s="63"/>
    </row>
    <row r="31" spans="1:6" s="54" customFormat="1" ht="15" customHeight="1">
      <c r="A31" s="150" t="s">
        <v>125</v>
      </c>
      <c r="B31" s="151"/>
      <c r="C31" s="31"/>
      <c r="D31" s="160">
        <f>D23+D30</f>
        <v>10989218.64</v>
      </c>
      <c r="E31" s="31"/>
      <c r="F31" s="63"/>
    </row>
    <row r="32" spans="1:6" s="54" customFormat="1" ht="15" customHeight="1">
      <c r="A32" s="152" t="s">
        <v>126</v>
      </c>
      <c r="B32" s="151"/>
      <c r="C32" s="31">
        <v>0</v>
      </c>
      <c r="D32" s="149"/>
      <c r="E32" s="158"/>
      <c r="F32" s="63"/>
    </row>
    <row r="33" spans="1:7" s="54" customFormat="1" ht="15" customHeight="1">
      <c r="A33" s="152" t="s">
        <v>127</v>
      </c>
      <c r="B33" s="151">
        <f>-'[1]4Q12 Trial Balance'!$F$121</f>
        <v>39370.68</v>
      </c>
      <c r="C33" s="31"/>
      <c r="D33" s="149"/>
      <c r="E33" s="62"/>
      <c r="G33" s="63"/>
    </row>
    <row r="34" spans="1:7" s="54" customFormat="1" ht="15" customHeight="1">
      <c r="A34" s="152" t="s">
        <v>128</v>
      </c>
      <c r="B34" s="153">
        <v>30556.68</v>
      </c>
      <c r="C34" s="31"/>
      <c r="D34" s="149"/>
      <c r="E34" s="62"/>
      <c r="G34" s="63"/>
    </row>
    <row r="35" spans="1:5" s="54" customFormat="1" ht="15" customHeight="1">
      <c r="A35" s="152" t="s">
        <v>129</v>
      </c>
      <c r="B35" s="151"/>
      <c r="C35" s="154">
        <f>B33-B34</f>
        <v>8814</v>
      </c>
      <c r="D35" s="149"/>
      <c r="E35" s="62"/>
    </row>
    <row r="36" spans="1:6" s="54" customFormat="1" ht="15" customHeight="1">
      <c r="A36" s="150" t="s">
        <v>130</v>
      </c>
      <c r="B36" s="151"/>
      <c r="C36" s="31" t="s">
        <v>69</v>
      </c>
      <c r="D36" s="149">
        <f>C32+C35</f>
        <v>8814</v>
      </c>
      <c r="E36" s="62"/>
      <c r="F36" s="63"/>
    </row>
    <row r="37" spans="1:5" s="54" customFormat="1" ht="15" customHeight="1">
      <c r="A37" s="152" t="s">
        <v>131</v>
      </c>
      <c r="B37" s="151"/>
      <c r="C37" s="31">
        <f>'[1]4Q12 Trial Balance'!D372</f>
        <v>232713.85000000003</v>
      </c>
      <c r="D37" s="149"/>
      <c r="E37" s="62"/>
    </row>
    <row r="38" spans="1:5" s="54" customFormat="1" ht="15" customHeight="1">
      <c r="A38" s="152" t="s">
        <v>132</v>
      </c>
      <c r="B38" s="151"/>
      <c r="C38" s="31">
        <f>'[1]4Q12 Trial Balance'!D383</f>
        <v>31237.809999999998</v>
      </c>
      <c r="D38" s="149"/>
      <c r="E38" s="161"/>
    </row>
    <row r="39" spans="1:6" s="54" customFormat="1" ht="15" customHeight="1">
      <c r="A39" s="152" t="s">
        <v>133</v>
      </c>
      <c r="B39" s="151"/>
      <c r="C39" s="156">
        <f>'[1]4Q12 Trial Balance'!D633-C43+1</f>
        <v>1069454.6499999994</v>
      </c>
      <c r="D39" s="149"/>
      <c r="E39" s="161"/>
      <c r="F39" s="62"/>
    </row>
    <row r="40" spans="1:6" s="54" customFormat="1" ht="15" customHeight="1">
      <c r="A40" s="150" t="s">
        <v>134</v>
      </c>
      <c r="B40" s="151"/>
      <c r="C40" s="31">
        <f>SUM(C37:C39)+1</f>
        <v>1333407.3099999996</v>
      </c>
      <c r="D40" s="149"/>
      <c r="E40" s="161"/>
      <c r="F40" s="62"/>
    </row>
    <row r="41" spans="1:5" s="54" customFormat="1" ht="15" customHeight="1">
      <c r="A41" s="152" t="s">
        <v>127</v>
      </c>
      <c r="B41" s="151">
        <f>-'[1]4Q12 Trial Balance'!$F$136</f>
        <v>150194.15999999997</v>
      </c>
      <c r="C41" s="31"/>
      <c r="D41" s="149"/>
      <c r="E41" s="161"/>
    </row>
    <row r="42" spans="1:5" s="54" customFormat="1" ht="15" customHeight="1">
      <c r="A42" s="152" t="s">
        <v>128</v>
      </c>
      <c r="B42" s="153">
        <v>103879.51999999999</v>
      </c>
      <c r="C42" s="31" t="s">
        <v>69</v>
      </c>
      <c r="D42" s="149"/>
      <c r="E42" s="62"/>
    </row>
    <row r="43" spans="1:5" s="54" customFormat="1" ht="15" customHeight="1">
      <c r="A43" s="152" t="s">
        <v>135</v>
      </c>
      <c r="B43" s="151"/>
      <c r="C43" s="154">
        <f>+B41-B42-1</f>
        <v>46313.639999999985</v>
      </c>
      <c r="D43" s="149"/>
      <c r="E43" s="62"/>
    </row>
    <row r="44" spans="1:6" s="54" customFormat="1" ht="15" customHeight="1">
      <c r="A44" s="150" t="s">
        <v>136</v>
      </c>
      <c r="B44" s="151"/>
      <c r="C44" s="31"/>
      <c r="D44" s="159">
        <f>SUM(C40:C43)</f>
        <v>1379720.9499999995</v>
      </c>
      <c r="E44" s="62"/>
      <c r="F44" s="62"/>
    </row>
    <row r="45" spans="1:6" s="54" customFormat="1" ht="15" customHeight="1">
      <c r="A45" s="150" t="s">
        <v>137</v>
      </c>
      <c r="B45" s="151"/>
      <c r="C45" s="31"/>
      <c r="D45" s="162">
        <f>SUM(D36:D44)</f>
        <v>1388534.9499999995</v>
      </c>
      <c r="E45" s="62"/>
      <c r="F45" s="163"/>
    </row>
    <row r="46" spans="1:6" s="54" customFormat="1" ht="15" customHeight="1">
      <c r="A46" s="150" t="s">
        <v>138</v>
      </c>
      <c r="B46" s="151"/>
      <c r="C46" s="31"/>
      <c r="D46" s="164">
        <f>+D31+D45</f>
        <v>12377753.59</v>
      </c>
      <c r="E46" s="62"/>
      <c r="F46" s="163"/>
    </row>
    <row r="47" spans="1:6" s="54" customFormat="1" ht="15" customHeight="1">
      <c r="A47" s="150" t="s">
        <v>139</v>
      </c>
      <c r="B47" s="151"/>
      <c r="C47" s="31"/>
      <c r="D47" s="160">
        <f>D16-D31-D45</f>
        <v>-9580604.030000001</v>
      </c>
      <c r="E47" s="165"/>
      <c r="F47" s="62"/>
    </row>
    <row r="48" spans="1:6" s="54" customFormat="1" ht="15" customHeight="1">
      <c r="A48" s="152" t="s">
        <v>140</v>
      </c>
      <c r="B48" s="151"/>
      <c r="C48" s="31">
        <f>-'[1]4Q12 Trial Balance'!$D$249-C51</f>
        <v>25328.340000000004</v>
      </c>
      <c r="D48" s="149"/>
      <c r="E48" s="63"/>
      <c r="F48" s="63"/>
    </row>
    <row r="49" spans="1:5" s="54" customFormat="1" ht="15" customHeight="1">
      <c r="A49" s="152" t="s">
        <v>141</v>
      </c>
      <c r="B49" s="151">
        <f>'[1]4Q12 Trial Balance'!$F$36</f>
        <v>11914.7</v>
      </c>
      <c r="C49" s="31"/>
      <c r="D49" s="149"/>
      <c r="E49" s="62"/>
    </row>
    <row r="50" spans="1:5" s="54" customFormat="1" ht="15" customHeight="1">
      <c r="A50" s="152" t="s">
        <v>142</v>
      </c>
      <c r="B50" s="153">
        <v>12218.69</v>
      </c>
      <c r="C50" s="31"/>
      <c r="D50" s="149"/>
      <c r="E50" s="62"/>
    </row>
    <row r="51" spans="1:5" s="54" customFormat="1" ht="15" customHeight="1">
      <c r="A51" s="152" t="s">
        <v>143</v>
      </c>
      <c r="B51" s="151"/>
      <c r="C51" s="154">
        <f>B49-B50</f>
        <v>-303.9899999999998</v>
      </c>
      <c r="D51" s="149"/>
      <c r="E51" s="62"/>
    </row>
    <row r="52" spans="1:5" s="54" customFormat="1" ht="15" customHeight="1">
      <c r="A52" s="150" t="s">
        <v>144</v>
      </c>
      <c r="B52" s="151"/>
      <c r="C52" s="31"/>
      <c r="D52" s="159">
        <f>C48+C51</f>
        <v>25024.350000000006</v>
      </c>
      <c r="E52" s="62"/>
    </row>
    <row r="53" spans="1:5" s="54" customFormat="1" ht="15" customHeight="1">
      <c r="A53" s="152" t="s">
        <v>148</v>
      </c>
      <c r="B53" s="151"/>
      <c r="C53" s="31"/>
      <c r="D53" s="166">
        <f>-'[1]4Q12 Trial Balance'!$D$255</f>
        <v>2179.65</v>
      </c>
      <c r="E53" s="62"/>
    </row>
    <row r="54" spans="1:5" s="54" customFormat="1" ht="15" customHeight="1">
      <c r="A54" s="150" t="s">
        <v>145</v>
      </c>
      <c r="B54" s="151"/>
      <c r="C54" s="31"/>
      <c r="D54" s="159">
        <f>SUM(D52:D53)</f>
        <v>27204.000000000007</v>
      </c>
      <c r="E54" s="62"/>
    </row>
    <row r="55" spans="1:6" s="54" customFormat="1" ht="15" customHeight="1">
      <c r="A55" s="152" t="s">
        <v>146</v>
      </c>
      <c r="B55" s="151"/>
      <c r="C55" s="31"/>
      <c r="D55" s="162">
        <f>-'[1]4Q12 Trial Balance'!$D$261</f>
        <v>5473.370000000001</v>
      </c>
      <c r="E55" s="62"/>
      <c r="F55" s="63"/>
    </row>
    <row r="56" spans="1:6" s="54" customFormat="1" ht="15" customHeight="1">
      <c r="A56" s="167" t="s">
        <v>147</v>
      </c>
      <c r="B56" s="153"/>
      <c r="C56" s="156"/>
      <c r="D56" s="164">
        <f>D47+D54+D55</f>
        <v>-9547926.660000002</v>
      </c>
      <c r="E56" s="165"/>
      <c r="F56" s="168"/>
    </row>
    <row r="57" spans="1:5" s="54" customFormat="1" ht="15" customHeight="1">
      <c r="A57" s="169"/>
      <c r="B57" s="170"/>
      <c r="C57" s="170"/>
      <c r="D57" s="170"/>
      <c r="E57" s="62"/>
    </row>
    <row r="58" spans="1:5" s="54" customFormat="1" ht="15" customHeight="1">
      <c r="A58" s="169"/>
      <c r="B58" s="170"/>
      <c r="C58" s="170"/>
      <c r="D58" s="170"/>
      <c r="E58" s="62"/>
    </row>
    <row r="59" spans="1:5" s="54" customFormat="1" ht="15" customHeight="1">
      <c r="A59" s="169"/>
      <c r="B59" s="170"/>
      <c r="C59" s="170"/>
      <c r="D59" s="170"/>
      <c r="E59" s="62"/>
    </row>
    <row r="60" spans="1:5" s="54" customFormat="1" ht="15" customHeight="1">
      <c r="A60" s="169"/>
      <c r="B60" s="170"/>
      <c r="C60" s="170"/>
      <c r="D60" s="170"/>
      <c r="E60" s="62"/>
    </row>
    <row r="61" spans="1:5" s="54" customFormat="1" ht="15" customHeight="1">
      <c r="A61" s="169"/>
      <c r="B61" s="170"/>
      <c r="C61" s="170"/>
      <c r="D61" s="170"/>
      <c r="E61" s="62"/>
    </row>
    <row r="62" spans="1:5" s="54" customFormat="1" ht="15" customHeight="1">
      <c r="A62" s="169"/>
      <c r="B62" s="170"/>
      <c r="C62" s="170"/>
      <c r="D62" s="170"/>
      <c r="E62" s="62"/>
    </row>
    <row r="63" spans="1:5" s="54" customFormat="1" ht="15" customHeight="1">
      <c r="A63" s="169"/>
      <c r="B63" s="170"/>
      <c r="C63" s="170"/>
      <c r="D63" s="170"/>
      <c r="E63" s="62"/>
    </row>
    <row r="64" spans="1:5" s="54" customFormat="1" ht="15" customHeight="1">
      <c r="A64" s="169"/>
      <c r="B64" s="171"/>
      <c r="C64" s="170"/>
      <c r="D64" s="170"/>
      <c r="E64" s="62"/>
    </row>
    <row r="65" spans="1:5" s="54" customFormat="1" ht="15" customHeight="1">
      <c r="A65" s="169"/>
      <c r="B65" s="171"/>
      <c r="C65" s="170"/>
      <c r="D65" s="170"/>
      <c r="E65" s="62"/>
    </row>
    <row r="66" spans="1:5" s="54" customFormat="1" ht="15" customHeight="1">
      <c r="A66" s="169"/>
      <c r="B66" s="171"/>
      <c r="C66" s="170"/>
      <c r="D66" s="170"/>
      <c r="E66" s="62"/>
    </row>
    <row r="67" spans="1:5" s="54" customFormat="1" ht="15" customHeight="1">
      <c r="A67" s="169"/>
      <c r="B67" s="171"/>
      <c r="C67" s="172"/>
      <c r="D67" s="170"/>
      <c r="E67" s="62"/>
    </row>
    <row r="68" spans="1:5" s="54" customFormat="1" ht="15" customHeight="1">
      <c r="A68" s="169"/>
      <c r="B68" s="171"/>
      <c r="C68" s="170"/>
      <c r="D68" s="170"/>
      <c r="E68" s="62"/>
    </row>
    <row r="69" spans="2:5" s="54" customFormat="1" ht="15" customHeight="1">
      <c r="B69" s="171"/>
      <c r="C69" s="170"/>
      <c r="D69" s="170"/>
      <c r="E69" s="62"/>
    </row>
    <row r="70" spans="1:5" s="54" customFormat="1" ht="15" customHeight="1">
      <c r="A70" s="169"/>
      <c r="B70" s="171"/>
      <c r="C70" s="170"/>
      <c r="D70" s="170"/>
      <c r="E70" s="62"/>
    </row>
    <row r="71" spans="1:5" s="54" customFormat="1" ht="15" customHeight="1">
      <c r="A71" s="169"/>
      <c r="B71" s="171"/>
      <c r="C71" s="170"/>
      <c r="D71" s="170"/>
      <c r="E71" s="62"/>
    </row>
    <row r="72" spans="1:5" s="54" customFormat="1" ht="15" customHeight="1">
      <c r="A72" s="169"/>
      <c r="B72" s="173"/>
      <c r="C72" s="170"/>
      <c r="D72" s="170"/>
      <c r="E72" s="62"/>
    </row>
    <row r="73" spans="1:5" s="54" customFormat="1" ht="15" customHeight="1">
      <c r="A73" s="169"/>
      <c r="B73" s="170"/>
      <c r="C73" s="172"/>
      <c r="D73" s="170"/>
      <c r="E73" s="62"/>
    </row>
    <row r="74" spans="1:5" s="54" customFormat="1" ht="15" customHeight="1">
      <c r="A74" s="169"/>
      <c r="B74" s="170"/>
      <c r="C74" s="170"/>
      <c r="D74" s="170"/>
      <c r="E74" s="62"/>
    </row>
    <row r="75" spans="1:5" s="54" customFormat="1" ht="15" customHeight="1">
      <c r="A75" s="169"/>
      <c r="B75" s="170"/>
      <c r="C75" s="170"/>
      <c r="D75" s="170"/>
      <c r="E75" s="62"/>
    </row>
    <row r="76" spans="1:5" s="54" customFormat="1" ht="15" customHeight="1">
      <c r="A76" s="169"/>
      <c r="B76" s="170"/>
      <c r="C76" s="170"/>
      <c r="D76" s="170"/>
      <c r="E76" s="62"/>
    </row>
    <row r="77" spans="1:5" s="54" customFormat="1" ht="15" customHeight="1">
      <c r="A77" s="169"/>
      <c r="B77" s="170"/>
      <c r="C77" s="170"/>
      <c r="D77" s="170"/>
      <c r="E77" s="62"/>
    </row>
    <row r="78" spans="1:5" s="54" customFormat="1" ht="15" customHeight="1">
      <c r="A78" s="169"/>
      <c r="B78" s="170"/>
      <c r="C78" s="170"/>
      <c r="D78" s="170"/>
      <c r="E78" s="62"/>
    </row>
    <row r="79" spans="1:5" s="54" customFormat="1" ht="15" customHeight="1">
      <c r="A79" s="169"/>
      <c r="B79" s="170"/>
      <c r="C79" s="170"/>
      <c r="D79" s="170"/>
      <c r="E79" s="62"/>
    </row>
    <row r="80" spans="1:5" s="54" customFormat="1" ht="15" customHeight="1">
      <c r="A80" s="169"/>
      <c r="B80" s="170"/>
      <c r="C80" s="170"/>
      <c r="D80" s="170"/>
      <c r="E80" s="62"/>
    </row>
    <row r="81" spans="1:5" s="54" customFormat="1" ht="15" customHeight="1">
      <c r="A81" s="169"/>
      <c r="B81" s="170"/>
      <c r="C81" s="170"/>
      <c r="D81" s="170"/>
      <c r="E81" s="62"/>
    </row>
    <row r="82" spans="1:5" s="54" customFormat="1" ht="15" customHeight="1">
      <c r="A82" s="169"/>
      <c r="B82" s="170"/>
      <c r="C82" s="170"/>
      <c r="D82" s="170"/>
      <c r="E82" s="62"/>
    </row>
    <row r="83" spans="1:5" s="54" customFormat="1" ht="15" customHeight="1">
      <c r="A83" s="169"/>
      <c r="B83" s="170"/>
      <c r="C83" s="170"/>
      <c r="D83" s="170"/>
      <c r="E83" s="62"/>
    </row>
    <row r="84" spans="1:5" s="54" customFormat="1" ht="15" customHeight="1">
      <c r="A84" s="169"/>
      <c r="B84" s="170"/>
      <c r="C84" s="170"/>
      <c r="D84" s="170"/>
      <c r="E84" s="62"/>
    </row>
    <row r="85" spans="1:5" s="54" customFormat="1" ht="15" customHeight="1">
      <c r="A85" s="169"/>
      <c r="B85" s="170"/>
      <c r="C85" s="170"/>
      <c r="D85" s="170"/>
      <c r="E85" s="62"/>
    </row>
    <row r="86" spans="1:5" s="54" customFormat="1" ht="15" customHeight="1">
      <c r="A86" s="169"/>
      <c r="B86" s="170"/>
      <c r="C86" s="170"/>
      <c r="D86" s="170"/>
      <c r="E86" s="62"/>
    </row>
    <row r="87" spans="1:5" s="54" customFormat="1" ht="15" customHeight="1">
      <c r="A87" s="169"/>
      <c r="B87" s="170"/>
      <c r="C87" s="170"/>
      <c r="D87" s="170"/>
      <c r="E87" s="62"/>
    </row>
    <row r="88" spans="1:5" s="54" customFormat="1" ht="15" customHeight="1">
      <c r="A88" s="169"/>
      <c r="B88" s="170"/>
      <c r="C88" s="170"/>
      <c r="D88" s="170"/>
      <c r="E88" s="62"/>
    </row>
    <row r="89" spans="1:5" s="54" customFormat="1" ht="15" customHeight="1">
      <c r="A89" s="169"/>
      <c r="B89" s="170"/>
      <c r="C89" s="173"/>
      <c r="D89" s="173"/>
      <c r="E89" s="62"/>
    </row>
    <row r="90" spans="1:5" s="54" customFormat="1" ht="15" customHeight="1">
      <c r="A90" s="169"/>
      <c r="B90" s="170"/>
      <c r="C90" s="173"/>
      <c r="D90" s="173"/>
      <c r="E90" s="62"/>
    </row>
    <row r="91" spans="1:5" s="54" customFormat="1" ht="15" customHeight="1">
      <c r="A91" s="169"/>
      <c r="B91" s="170"/>
      <c r="C91" s="173"/>
      <c r="D91" s="173"/>
      <c r="E91" s="62"/>
    </row>
    <row r="92" spans="1:5" s="54" customFormat="1" ht="15" customHeight="1">
      <c r="A92" s="169"/>
      <c r="B92" s="173"/>
      <c r="C92" s="173"/>
      <c r="D92" s="173"/>
      <c r="E92" s="62"/>
    </row>
    <row r="93" spans="1:5" s="54" customFormat="1" ht="15" customHeight="1">
      <c r="A93" s="169"/>
      <c r="B93" s="173"/>
      <c r="C93" s="173"/>
      <c r="D93" s="173"/>
      <c r="E93" s="62"/>
    </row>
    <row r="94" spans="1:5" s="54" customFormat="1" ht="15" customHeight="1">
      <c r="A94" s="169"/>
      <c r="B94" s="173"/>
      <c r="C94" s="173"/>
      <c r="D94" s="173"/>
      <c r="E94" s="62"/>
    </row>
    <row r="95" spans="1:5" s="54" customFormat="1" ht="15" customHeight="1">
      <c r="A95" s="169"/>
      <c r="B95" s="173"/>
      <c r="C95" s="173"/>
      <c r="D95" s="173"/>
      <c r="E95" s="62"/>
    </row>
    <row r="96" spans="1:5" s="54" customFormat="1" ht="15" customHeight="1">
      <c r="A96" s="169"/>
      <c r="B96" s="173"/>
      <c r="C96" s="173"/>
      <c r="D96" s="173"/>
      <c r="E96" s="62"/>
    </row>
    <row r="97" spans="1:5" s="54" customFormat="1" ht="15" customHeight="1">
      <c r="A97" s="169"/>
      <c r="B97" s="173"/>
      <c r="C97" s="173"/>
      <c r="D97" s="173"/>
      <c r="E97" s="62"/>
    </row>
    <row r="98" spans="1:5" s="54" customFormat="1" ht="15" customHeight="1">
      <c r="A98" s="169"/>
      <c r="B98" s="173"/>
      <c r="C98" s="173"/>
      <c r="D98" s="173"/>
      <c r="E98" s="62"/>
    </row>
    <row r="99" spans="1:5" s="54" customFormat="1" ht="15" customHeight="1">
      <c r="A99" s="169"/>
      <c r="B99" s="173"/>
      <c r="C99" s="173"/>
      <c r="D99" s="173"/>
      <c r="E99" s="62"/>
    </row>
    <row r="100" spans="1:5" s="54" customFormat="1" ht="15" customHeight="1">
      <c r="A100" s="169"/>
      <c r="B100" s="173"/>
      <c r="C100" s="173"/>
      <c r="D100" s="173"/>
      <c r="E100" s="62"/>
    </row>
    <row r="101" spans="1:5" s="54" customFormat="1" ht="15" customHeight="1">
      <c r="A101" s="169"/>
      <c r="B101" s="173"/>
      <c r="C101" s="173"/>
      <c r="D101" s="173"/>
      <c r="E101" s="62"/>
    </row>
    <row r="102" spans="1:5" s="54" customFormat="1" ht="15" customHeight="1">
      <c r="A102" s="169"/>
      <c r="B102" s="173"/>
      <c r="C102" s="173"/>
      <c r="D102" s="173"/>
      <c r="E102" s="62"/>
    </row>
    <row r="103" spans="1:5" s="54" customFormat="1" ht="15" customHeight="1">
      <c r="A103" s="169"/>
      <c r="B103" s="173"/>
      <c r="C103" s="173"/>
      <c r="D103" s="173"/>
      <c r="E103" s="62"/>
    </row>
    <row r="104" spans="1:5" s="54" customFormat="1" ht="15" customHeight="1">
      <c r="A104" s="169"/>
      <c r="B104" s="173"/>
      <c r="C104" s="173"/>
      <c r="D104" s="173"/>
      <c r="E104" s="62"/>
    </row>
    <row r="105" spans="1:5" s="54" customFormat="1" ht="15" customHeight="1">
      <c r="A105" s="169"/>
      <c r="B105" s="173"/>
      <c r="C105" s="173"/>
      <c r="D105" s="173"/>
      <c r="E105" s="62"/>
    </row>
    <row r="106" spans="1:5" s="54" customFormat="1" ht="15" customHeight="1">
      <c r="A106" s="169"/>
      <c r="B106" s="173"/>
      <c r="C106" s="173"/>
      <c r="D106" s="173"/>
      <c r="E106" s="62"/>
    </row>
    <row r="107" spans="1:5" s="54" customFormat="1" ht="15" customHeight="1">
      <c r="A107" s="169"/>
      <c r="B107" s="173"/>
      <c r="C107" s="173"/>
      <c r="D107" s="173"/>
      <c r="E107" s="62"/>
    </row>
    <row r="108" spans="1:5" s="54" customFormat="1" ht="15" customHeight="1">
      <c r="A108" s="169"/>
      <c r="B108" s="173"/>
      <c r="C108" s="173"/>
      <c r="D108" s="173"/>
      <c r="E108" s="62"/>
    </row>
    <row r="109" spans="1:5" s="54" customFormat="1" ht="15" customHeight="1">
      <c r="A109" s="169"/>
      <c r="B109" s="173"/>
      <c r="C109" s="173"/>
      <c r="D109" s="173"/>
      <c r="E109" s="62"/>
    </row>
    <row r="110" spans="1:5" s="54" customFormat="1" ht="15" customHeight="1">
      <c r="A110" s="169"/>
      <c r="B110" s="173"/>
      <c r="C110" s="173"/>
      <c r="D110" s="173"/>
      <c r="E110" s="62"/>
    </row>
    <row r="111" spans="1:5" s="54" customFormat="1" ht="15" customHeight="1">
      <c r="A111" s="169"/>
      <c r="B111" s="173"/>
      <c r="C111" s="173"/>
      <c r="D111" s="173"/>
      <c r="E111" s="62"/>
    </row>
    <row r="112" spans="1:5" s="54" customFormat="1" ht="15" customHeight="1">
      <c r="A112" s="169"/>
      <c r="B112" s="173"/>
      <c r="C112" s="173"/>
      <c r="D112" s="173"/>
      <c r="E112" s="62"/>
    </row>
    <row r="113" spans="1:5" s="54" customFormat="1" ht="15" customHeight="1">
      <c r="A113" s="169"/>
      <c r="B113" s="173"/>
      <c r="C113" s="173"/>
      <c r="D113" s="173"/>
      <c r="E113" s="62"/>
    </row>
    <row r="114" spans="1:5" s="54" customFormat="1" ht="15" customHeight="1">
      <c r="A114" s="169"/>
      <c r="B114" s="173"/>
      <c r="C114" s="173"/>
      <c r="D114" s="173"/>
      <c r="E114" s="62"/>
    </row>
    <row r="115" spans="1:5" s="54" customFormat="1" ht="15" customHeight="1">
      <c r="A115" s="169"/>
      <c r="B115" s="173"/>
      <c r="C115" s="173"/>
      <c r="D115" s="173"/>
      <c r="E115" s="62"/>
    </row>
    <row r="116" spans="1:5" s="54" customFormat="1" ht="15" customHeight="1">
      <c r="A116" s="169"/>
      <c r="B116" s="173"/>
      <c r="C116" s="173"/>
      <c r="D116" s="173"/>
      <c r="E116" s="62"/>
    </row>
    <row r="117" spans="1:5" s="54" customFormat="1" ht="15" customHeight="1">
      <c r="A117" s="169"/>
      <c r="B117" s="173"/>
      <c r="C117" s="173"/>
      <c r="D117" s="173"/>
      <c r="E117" s="62"/>
    </row>
    <row r="118" spans="1:5" s="54" customFormat="1" ht="15" customHeight="1">
      <c r="A118" s="169"/>
      <c r="B118" s="173"/>
      <c r="C118" s="173"/>
      <c r="D118" s="173"/>
      <c r="E118" s="62"/>
    </row>
    <row r="119" spans="1:5" s="54" customFormat="1" ht="15" customHeight="1">
      <c r="A119" s="169"/>
      <c r="B119" s="173"/>
      <c r="C119" s="173"/>
      <c r="D119" s="173"/>
      <c r="E119" s="62"/>
    </row>
    <row r="120" spans="1:5" s="54" customFormat="1" ht="15" customHeight="1">
      <c r="A120" s="169"/>
      <c r="B120" s="173"/>
      <c r="C120" s="173"/>
      <c r="D120" s="173"/>
      <c r="E120" s="62"/>
    </row>
    <row r="121" spans="1:5" s="54" customFormat="1" ht="15" customHeight="1">
      <c r="A121" s="174"/>
      <c r="B121" s="173"/>
      <c r="C121" s="173"/>
      <c r="D121" s="173"/>
      <c r="E121" s="62"/>
    </row>
    <row r="122" spans="1:5" s="54" customFormat="1" ht="15" customHeight="1">
      <c r="A122" s="174"/>
      <c r="B122" s="173"/>
      <c r="C122" s="173"/>
      <c r="D122" s="173"/>
      <c r="E122" s="62"/>
    </row>
    <row r="123" spans="1:5" s="54" customFormat="1" ht="15" customHeight="1">
      <c r="A123" s="174"/>
      <c r="B123" s="173"/>
      <c r="C123" s="173"/>
      <c r="D123" s="173"/>
      <c r="E123" s="62"/>
    </row>
    <row r="124" spans="1:5" s="54" customFormat="1" ht="15" customHeight="1">
      <c r="A124" s="174"/>
      <c r="B124" s="173"/>
      <c r="C124" s="173"/>
      <c r="D124" s="173"/>
      <c r="E124" s="62"/>
    </row>
    <row r="125" spans="1:5" s="54" customFormat="1" ht="15" customHeight="1">
      <c r="A125" s="174"/>
      <c r="B125" s="173"/>
      <c r="C125" s="173"/>
      <c r="D125" s="173"/>
      <c r="E125" s="62"/>
    </row>
    <row r="126" spans="1:5" s="54" customFormat="1" ht="15" customHeight="1">
      <c r="A126" s="174"/>
      <c r="B126" s="173"/>
      <c r="C126" s="173"/>
      <c r="D126" s="173"/>
      <c r="E126" s="62"/>
    </row>
    <row r="127" spans="1:5" s="54" customFormat="1" ht="15" customHeight="1">
      <c r="A127" s="174"/>
      <c r="B127" s="173"/>
      <c r="C127" s="173"/>
      <c r="D127" s="173"/>
      <c r="E127" s="62"/>
    </row>
    <row r="128" ht="15" customHeight="1">
      <c r="A128" s="175"/>
    </row>
    <row r="129" s="48" customFormat="1" ht="15" customHeight="1">
      <c r="A129" s="175"/>
    </row>
    <row r="130" s="48" customFormat="1" ht="15" customHeight="1">
      <c r="A130" s="175"/>
    </row>
    <row r="131" s="48" customFormat="1" ht="15" customHeight="1">
      <c r="A131" s="175"/>
    </row>
    <row r="132" s="48" customFormat="1" ht="15" customHeight="1">
      <c r="A132" s="175"/>
    </row>
    <row r="133" s="48" customFormat="1" ht="15" customHeight="1">
      <c r="A133" s="175"/>
    </row>
    <row r="134" s="48" customFormat="1" ht="15" customHeight="1">
      <c r="A134" s="175"/>
    </row>
    <row r="135" s="48" customFormat="1" ht="15" customHeight="1">
      <c r="A135" s="175"/>
    </row>
    <row r="136" s="48" customFormat="1" ht="15" customHeight="1">
      <c r="A136" s="175"/>
    </row>
    <row r="137" s="48" customFormat="1" ht="15" customHeight="1">
      <c r="A137" s="175"/>
    </row>
    <row r="138" s="48" customFormat="1" ht="15" customHeight="1">
      <c r="A138" s="175"/>
    </row>
    <row r="139" s="48" customFormat="1" ht="15" customHeight="1">
      <c r="A139" s="175"/>
    </row>
    <row r="140" s="48" customFormat="1" ht="15" customHeight="1">
      <c r="A140" s="175"/>
    </row>
    <row r="141" s="48" customFormat="1" ht="15" customHeight="1">
      <c r="A141" s="175"/>
    </row>
    <row r="142" s="48" customFormat="1" ht="15" customHeight="1">
      <c r="A142" s="175"/>
    </row>
    <row r="143" s="48" customFormat="1" ht="15" customHeight="1">
      <c r="A143" s="175"/>
    </row>
    <row r="144" s="48" customFormat="1" ht="15" customHeight="1">
      <c r="A144" s="175"/>
    </row>
    <row r="145" s="48" customFormat="1" ht="15" customHeight="1">
      <c r="A145" s="175"/>
    </row>
    <row r="146" s="48" customFormat="1" ht="15" customHeight="1">
      <c r="A146" s="175"/>
    </row>
    <row r="147" s="48" customFormat="1" ht="15" customHeight="1">
      <c r="A147" s="175"/>
    </row>
    <row r="148" s="48" customFormat="1" ht="15" customHeight="1">
      <c r="A148" s="175"/>
    </row>
    <row r="149" s="48" customFormat="1" ht="15" customHeight="1">
      <c r="A149" s="175"/>
    </row>
    <row r="150" s="48" customFormat="1" ht="15" customHeight="1">
      <c r="A150" s="175"/>
    </row>
    <row r="151" s="48" customFormat="1" ht="15" customHeight="1">
      <c r="A151" s="175"/>
    </row>
    <row r="152" s="48" customFormat="1" ht="15" customHeight="1">
      <c r="A152" s="175"/>
    </row>
    <row r="153" s="48" customFormat="1" ht="15" customHeight="1">
      <c r="A153" s="175"/>
    </row>
    <row r="154" s="48" customFormat="1" ht="15" customHeight="1">
      <c r="A154" s="175"/>
    </row>
    <row r="155" s="48" customFormat="1" ht="15" customHeight="1">
      <c r="A155" s="175"/>
    </row>
    <row r="156" s="48" customFormat="1" ht="15" customHeight="1">
      <c r="A156" s="175"/>
    </row>
    <row r="157" s="48" customFormat="1" ht="15" customHeight="1">
      <c r="A157" s="175"/>
    </row>
    <row r="158" s="48" customFormat="1" ht="15" customHeight="1">
      <c r="A158" s="175"/>
    </row>
    <row r="159" s="48" customFormat="1" ht="15" customHeight="1">
      <c r="A159" s="175"/>
    </row>
    <row r="160" s="48" customFormat="1" ht="15" customHeight="1">
      <c r="A160" s="175"/>
    </row>
    <row r="161" s="48" customFormat="1" ht="15" customHeight="1">
      <c r="A161" s="175"/>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G161"/>
  <sheetViews>
    <sheetView zoomScalePageLayoutView="0" workbookViewId="0" topLeftCell="A1">
      <selection activeCell="A1" sqref="A1:D1"/>
    </sheetView>
  </sheetViews>
  <sheetFormatPr defaultColWidth="15.7109375" defaultRowHeight="15" customHeight="1"/>
  <cols>
    <col min="1" max="1" width="60.7109375" style="48" customWidth="1"/>
    <col min="2" max="4" width="18.7109375" style="176" customWidth="1"/>
    <col min="5" max="5" width="15.7109375" style="177" customWidth="1"/>
    <col min="6" max="16384" width="15.7109375" style="48" customWidth="1"/>
  </cols>
  <sheetData>
    <row r="1" spans="1:5" s="132" customFormat="1" ht="30" customHeight="1">
      <c r="A1" s="323" t="s">
        <v>0</v>
      </c>
      <c r="B1" s="324"/>
      <c r="C1" s="324"/>
      <c r="D1" s="325"/>
      <c r="E1" s="131"/>
    </row>
    <row r="2" spans="1:5" s="134" customFormat="1" ht="15" customHeight="1">
      <c r="A2" s="326"/>
      <c r="B2" s="327"/>
      <c r="C2" s="327"/>
      <c r="D2" s="328"/>
      <c r="E2" s="133"/>
    </row>
    <row r="3" spans="1:5" s="134" customFormat="1" ht="15" customHeight="1">
      <c r="A3" s="329" t="s">
        <v>103</v>
      </c>
      <c r="B3" s="330"/>
      <c r="C3" s="330"/>
      <c r="D3" s="331"/>
      <c r="E3" s="133"/>
    </row>
    <row r="4" spans="1:5" s="134" customFormat="1" ht="15" customHeight="1">
      <c r="A4" s="329" t="s">
        <v>104</v>
      </c>
      <c r="B4" s="330"/>
      <c r="C4" s="330"/>
      <c r="D4" s="331"/>
      <c r="E4" s="133"/>
    </row>
    <row r="5" spans="1:5" s="134" customFormat="1" ht="15" customHeight="1">
      <c r="A5" s="329" t="s">
        <v>193</v>
      </c>
      <c r="B5" s="330"/>
      <c r="C5" s="330"/>
      <c r="D5" s="331"/>
      <c r="E5" s="133"/>
    </row>
    <row r="6" spans="1:5" s="134" customFormat="1" ht="15" customHeight="1">
      <c r="A6" s="135"/>
      <c r="B6" s="136"/>
      <c r="C6" s="136"/>
      <c r="D6" s="137"/>
      <c r="E6" s="133"/>
    </row>
    <row r="7" spans="1:5" s="54" customFormat="1" ht="15" customHeight="1">
      <c r="A7" s="138"/>
      <c r="B7" s="136"/>
      <c r="C7" s="136"/>
      <c r="D7" s="137"/>
      <c r="E7" s="62"/>
    </row>
    <row r="8" spans="1:5" s="54" customFormat="1" ht="15" customHeight="1">
      <c r="A8" s="139" t="s">
        <v>105</v>
      </c>
      <c r="B8" s="140" t="s">
        <v>194</v>
      </c>
      <c r="C8" s="141"/>
      <c r="D8" s="142"/>
      <c r="E8" s="62"/>
    </row>
    <row r="9" spans="1:5" s="54" customFormat="1" ht="15" customHeight="1">
      <c r="A9" s="139"/>
      <c r="B9" s="143" t="s">
        <v>48</v>
      </c>
      <c r="C9" s="144"/>
      <c r="D9" s="145"/>
      <c r="E9" s="62"/>
    </row>
    <row r="10" spans="1:5" s="54" customFormat="1" ht="15" customHeight="1">
      <c r="A10" s="146"/>
      <c r="B10" s="147" t="s">
        <v>69</v>
      </c>
      <c r="C10" s="148"/>
      <c r="D10" s="149"/>
      <c r="E10" s="62"/>
    </row>
    <row r="11" spans="1:5" s="54" customFormat="1" ht="15" customHeight="1">
      <c r="A11" s="150" t="s">
        <v>106</v>
      </c>
      <c r="B11" s="151"/>
      <c r="C11" s="23">
        <f>'Premiums YTD-8'!F12</f>
        <v>11026925</v>
      </c>
      <c r="D11" s="149"/>
      <c r="E11" s="62"/>
    </row>
    <row r="12" spans="1:5" s="54" customFormat="1" ht="15" customHeight="1">
      <c r="A12" s="150"/>
      <c r="B12" s="151"/>
      <c r="C12" s="24"/>
      <c r="D12" s="149"/>
      <c r="E12" s="62"/>
    </row>
    <row r="13" spans="1:5" s="54" customFormat="1" ht="15" customHeight="1">
      <c r="A13" s="152" t="s">
        <v>107</v>
      </c>
      <c r="B13" s="151">
        <f>'Premiums YTD-8'!F18</f>
        <v>5554113.430000001</v>
      </c>
      <c r="C13" s="31"/>
      <c r="D13" s="149"/>
      <c r="E13" s="62"/>
    </row>
    <row r="14" spans="1:5" s="54" customFormat="1" ht="15" customHeight="1">
      <c r="A14" s="152" t="s">
        <v>108</v>
      </c>
      <c r="B14" s="153">
        <f>'Premiums YTD-8'!F24</f>
        <v>5718238.84</v>
      </c>
      <c r="C14" s="31"/>
      <c r="D14" s="149"/>
      <c r="E14" s="62"/>
    </row>
    <row r="15" spans="1:5" s="54" customFormat="1" ht="15" customHeight="1">
      <c r="A15" s="152" t="s">
        <v>109</v>
      </c>
      <c r="B15" s="151"/>
      <c r="C15" s="156">
        <f>B14-B13+1</f>
        <v>164126.40999999922</v>
      </c>
      <c r="D15" s="149"/>
      <c r="E15" s="62"/>
    </row>
    <row r="16" spans="1:5" s="54" customFormat="1" ht="15" customHeight="1">
      <c r="A16" s="150" t="s">
        <v>110</v>
      </c>
      <c r="B16" s="151"/>
      <c r="C16" s="31"/>
      <c r="D16" s="155">
        <f>C11+C15</f>
        <v>11191051.41</v>
      </c>
      <c r="E16" s="62"/>
    </row>
    <row r="17" spans="1:4" s="54" customFormat="1" ht="15" customHeight="1">
      <c r="A17" s="152" t="s">
        <v>111</v>
      </c>
      <c r="B17" s="151"/>
      <c r="C17" s="31">
        <f>'[2]Loss Expenses Paid YTD-16'!E30</f>
        <v>8277594.35</v>
      </c>
      <c r="D17" s="149"/>
    </row>
    <row r="18" spans="1:4" s="54" customFormat="1" ht="15" customHeight="1">
      <c r="A18" s="152" t="s">
        <v>112</v>
      </c>
      <c r="B18" s="151"/>
      <c r="C18" s="156">
        <f>-'[1]4Q12 Trial Balance'!F280-1</f>
        <v>110808.57</v>
      </c>
      <c r="D18" s="149"/>
    </row>
    <row r="19" spans="1:5" s="54" customFormat="1" ht="15" customHeight="1">
      <c r="A19" s="150" t="s">
        <v>113</v>
      </c>
      <c r="B19" s="151"/>
      <c r="C19" s="31">
        <f>C17-C18-1</f>
        <v>8166784.779999999</v>
      </c>
      <c r="D19" s="149"/>
      <c r="E19" s="62"/>
    </row>
    <row r="20" spans="1:5" s="54" customFormat="1" ht="15" customHeight="1">
      <c r="A20" s="152" t="s">
        <v>114</v>
      </c>
      <c r="B20" s="151">
        <f>'Losses Incurred YTD-10'!F18+'Losses Incurred YTD-10'!F24</f>
        <v>9249066.31</v>
      </c>
      <c r="C20" s="31" t="s">
        <v>69</v>
      </c>
      <c r="D20" s="149"/>
      <c r="E20" s="62"/>
    </row>
    <row r="21" spans="1:5" s="54" customFormat="1" ht="15" customHeight="1">
      <c r="A21" s="152" t="s">
        <v>115</v>
      </c>
      <c r="B21" s="153">
        <f>'Losses Incurred YTD-10'!F31</f>
        <v>2884547.79</v>
      </c>
      <c r="C21" s="31"/>
      <c r="D21" s="149"/>
      <c r="E21" s="62"/>
    </row>
    <row r="22" spans="1:5" s="54" customFormat="1" ht="15" customHeight="1">
      <c r="A22" s="152" t="s">
        <v>116</v>
      </c>
      <c r="B22" s="157"/>
      <c r="C22" s="154">
        <f>B20-B21-1</f>
        <v>6364517.5200000005</v>
      </c>
      <c r="D22" s="149"/>
      <c r="E22" s="62"/>
    </row>
    <row r="23" spans="1:6" s="54" customFormat="1" ht="15" customHeight="1">
      <c r="A23" s="150" t="s">
        <v>117</v>
      </c>
      <c r="B23" s="151"/>
      <c r="C23" s="31"/>
      <c r="D23" s="149">
        <f>C19+C22+1</f>
        <v>14531303.3</v>
      </c>
      <c r="E23" s="31"/>
      <c r="F23" s="63"/>
    </row>
    <row r="24" spans="1:5" s="54" customFormat="1" ht="15" customHeight="1">
      <c r="A24" s="152" t="s">
        <v>118</v>
      </c>
      <c r="B24" s="151"/>
      <c r="C24" s="31">
        <f>'[2]Loss Expenses Paid YTD-16'!C30</f>
        <v>962082.23</v>
      </c>
      <c r="D24" s="149"/>
      <c r="E24" s="158"/>
    </row>
    <row r="25" spans="1:5" s="54" customFormat="1" ht="15" customHeight="1">
      <c r="A25" s="152" t="s">
        <v>119</v>
      </c>
      <c r="B25" s="151"/>
      <c r="C25" s="156">
        <f>'[2]Loss Expenses Paid YTD-16'!I30</f>
        <v>577840.43</v>
      </c>
      <c r="D25" s="149"/>
      <c r="E25" s="158"/>
    </row>
    <row r="26" spans="1:5" s="54" customFormat="1" ht="15" customHeight="1">
      <c r="A26" s="150" t="s">
        <v>120</v>
      </c>
      <c r="B26" s="151"/>
      <c r="C26" s="31">
        <f>C24+C25-1</f>
        <v>1539921.6600000001</v>
      </c>
      <c r="D26" s="149"/>
      <c r="E26" s="31"/>
    </row>
    <row r="27" spans="1:5" s="54" customFormat="1" ht="15" customHeight="1">
      <c r="A27" s="152" t="s">
        <v>121</v>
      </c>
      <c r="B27" s="151">
        <f>'Loss Expenses YTD-12'!F18</f>
        <v>379601.61</v>
      </c>
      <c r="C27" s="31"/>
      <c r="D27" s="149"/>
      <c r="E27" s="158"/>
    </row>
    <row r="28" spans="1:5" s="54" customFormat="1" ht="15" customHeight="1">
      <c r="A28" s="152" t="s">
        <v>122</v>
      </c>
      <c r="B28" s="153">
        <f>'Loss Expenses YTD-12'!F24</f>
        <v>492508.13999999996</v>
      </c>
      <c r="C28" s="31"/>
      <c r="D28" s="149"/>
      <c r="E28" s="31"/>
    </row>
    <row r="29" spans="1:7" s="54" customFormat="1" ht="15" customHeight="1">
      <c r="A29" s="152" t="s">
        <v>123</v>
      </c>
      <c r="B29" s="151"/>
      <c r="C29" s="154">
        <f>B27-B28+1</f>
        <v>-112905.52999999997</v>
      </c>
      <c r="D29" s="149"/>
      <c r="E29" s="158"/>
      <c r="G29" s="63"/>
    </row>
    <row r="30" spans="1:6" s="54" customFormat="1" ht="15" customHeight="1">
      <c r="A30" s="150" t="s">
        <v>124</v>
      </c>
      <c r="B30" s="151"/>
      <c r="C30" s="31"/>
      <c r="D30" s="159">
        <f>C26+C29</f>
        <v>1427016.1300000001</v>
      </c>
      <c r="E30" s="31"/>
      <c r="F30" s="63"/>
    </row>
    <row r="31" spans="1:6" s="54" customFormat="1" ht="15" customHeight="1">
      <c r="A31" s="150" t="s">
        <v>125</v>
      </c>
      <c r="B31" s="151"/>
      <c r="C31" s="31"/>
      <c r="D31" s="160">
        <f>D23+D30</f>
        <v>15958319.430000002</v>
      </c>
      <c r="E31" s="31"/>
      <c r="F31" s="63"/>
    </row>
    <row r="32" spans="1:6" s="54" customFormat="1" ht="15" customHeight="1">
      <c r="A32" s="152" t="s">
        <v>126</v>
      </c>
      <c r="B32" s="151"/>
      <c r="C32" s="31">
        <f>14910.31+2047.47+11894.73+22800</f>
        <v>51652.509999999995</v>
      </c>
      <c r="D32" s="149"/>
      <c r="E32" s="158"/>
      <c r="F32" s="63"/>
    </row>
    <row r="33" spans="1:7" s="54" customFormat="1" ht="15" customHeight="1">
      <c r="A33" s="152" t="s">
        <v>127</v>
      </c>
      <c r="B33" s="151">
        <f>-'[1]4Q12 Trial Balance'!$F$121</f>
        <v>39370.68</v>
      </c>
      <c r="C33" s="31"/>
      <c r="D33" s="149"/>
      <c r="E33" s="62"/>
      <c r="G33" s="63"/>
    </row>
    <row r="34" spans="1:7" s="54" customFormat="1" ht="15" customHeight="1">
      <c r="A34" s="152" t="s">
        <v>128</v>
      </c>
      <c r="B34" s="153">
        <v>41163.77</v>
      </c>
      <c r="C34" s="31"/>
      <c r="D34" s="149"/>
      <c r="E34" s="62"/>
      <c r="G34" s="63"/>
    </row>
    <row r="35" spans="1:5" s="54" customFormat="1" ht="15" customHeight="1">
      <c r="A35" s="152" t="s">
        <v>129</v>
      </c>
      <c r="B35" s="151"/>
      <c r="C35" s="154">
        <f>B33-B34</f>
        <v>-1793.0899999999965</v>
      </c>
      <c r="D35" s="149"/>
      <c r="E35" s="62"/>
    </row>
    <row r="36" spans="1:6" s="54" customFormat="1" ht="15" customHeight="1">
      <c r="A36" s="150" t="s">
        <v>130</v>
      </c>
      <c r="B36" s="151"/>
      <c r="C36" s="31" t="s">
        <v>69</v>
      </c>
      <c r="D36" s="149">
        <f>C32+C35+1</f>
        <v>49860.42</v>
      </c>
      <c r="E36" s="62"/>
      <c r="F36" s="63"/>
    </row>
    <row r="37" spans="1:5" s="54" customFormat="1" ht="15" customHeight="1">
      <c r="A37" s="152" t="s">
        <v>131</v>
      </c>
      <c r="B37" s="151"/>
      <c r="C37" s="31">
        <f>'[1]4Q12 Trial Balance'!$F$372</f>
        <v>952836.6499999999</v>
      </c>
      <c r="D37" s="149"/>
      <c r="E37" s="62"/>
    </row>
    <row r="38" spans="1:5" s="54" customFormat="1" ht="15" customHeight="1">
      <c r="A38" s="152" t="s">
        <v>132</v>
      </c>
      <c r="B38" s="151"/>
      <c r="C38" s="31">
        <f>'[1]4Q12 Trial Balance'!$F$383</f>
        <v>139597.47999999998</v>
      </c>
      <c r="D38" s="149"/>
      <c r="E38" s="161"/>
    </row>
    <row r="39" spans="1:6" s="54" customFormat="1" ht="15" customHeight="1">
      <c r="A39" s="152" t="s">
        <v>133</v>
      </c>
      <c r="B39" s="151"/>
      <c r="C39" s="156">
        <f>'[1]4Q12 Trial Balance'!$F$633-C43+1</f>
        <v>3744361.4499999997</v>
      </c>
      <c r="D39" s="149"/>
      <c r="E39" s="161"/>
      <c r="F39" s="62"/>
    </row>
    <row r="40" spans="1:6" s="54" customFormat="1" ht="15" customHeight="1">
      <c r="A40" s="150" t="s">
        <v>134</v>
      </c>
      <c r="B40" s="151"/>
      <c r="C40" s="31">
        <f>SUM(C37:C39)-1</f>
        <v>4836794.58</v>
      </c>
      <c r="D40" s="149"/>
      <c r="E40" s="161"/>
      <c r="F40" s="62"/>
    </row>
    <row r="41" spans="1:5" s="54" customFormat="1" ht="15" customHeight="1">
      <c r="A41" s="152" t="s">
        <v>127</v>
      </c>
      <c r="B41" s="151">
        <f>-'[1]4Q12 Trial Balance'!$F$136</f>
        <v>150194.15999999997</v>
      </c>
      <c r="C41" s="31"/>
      <c r="D41" s="149"/>
      <c r="E41" s="161"/>
    </row>
    <row r="42" spans="1:5" s="54" customFormat="1" ht="15" customHeight="1">
      <c r="A42" s="152" t="s">
        <v>128</v>
      </c>
      <c r="B42" s="153">
        <v>211065</v>
      </c>
      <c r="C42" s="31" t="s">
        <v>69</v>
      </c>
      <c r="D42" s="149"/>
      <c r="E42" s="62"/>
    </row>
    <row r="43" spans="1:5" s="54" customFormat="1" ht="15" customHeight="1">
      <c r="A43" s="152" t="s">
        <v>135</v>
      </c>
      <c r="B43" s="151"/>
      <c r="C43" s="154">
        <f>+B41-B42</f>
        <v>-60870.840000000026</v>
      </c>
      <c r="D43" s="149"/>
      <c r="E43" s="62"/>
    </row>
    <row r="44" spans="1:6" s="54" customFormat="1" ht="15" customHeight="1">
      <c r="A44" s="150" t="s">
        <v>136</v>
      </c>
      <c r="B44" s="151"/>
      <c r="C44" s="31"/>
      <c r="D44" s="159">
        <f>SUM(C40:C43)</f>
        <v>4775923.74</v>
      </c>
      <c r="E44" s="62"/>
      <c r="F44" s="62"/>
    </row>
    <row r="45" spans="1:6" s="54" customFormat="1" ht="15" customHeight="1">
      <c r="A45" s="150" t="s">
        <v>137</v>
      </c>
      <c r="B45" s="151"/>
      <c r="C45" s="31"/>
      <c r="D45" s="162">
        <f>SUM(D36:D44)</f>
        <v>4825784.16</v>
      </c>
      <c r="E45" s="62"/>
      <c r="F45" s="163"/>
    </row>
    <row r="46" spans="1:6" s="54" customFormat="1" ht="15" customHeight="1">
      <c r="A46" s="150" t="s">
        <v>138</v>
      </c>
      <c r="B46" s="151"/>
      <c r="C46" s="31"/>
      <c r="D46" s="164">
        <f>+D31+D45-1</f>
        <v>20784102.590000004</v>
      </c>
      <c r="E46" s="62"/>
      <c r="F46" s="163"/>
    </row>
    <row r="47" spans="1:6" s="54" customFormat="1" ht="15" customHeight="1">
      <c r="A47" s="150" t="s">
        <v>139</v>
      </c>
      <c r="B47" s="151"/>
      <c r="C47" s="31"/>
      <c r="D47" s="160">
        <f>D16-D31-D45</f>
        <v>-9593052.180000002</v>
      </c>
      <c r="E47" s="165"/>
      <c r="F47" s="62"/>
    </row>
    <row r="48" spans="1:6" s="54" customFormat="1" ht="15" customHeight="1">
      <c r="A48" s="152" t="s">
        <v>140</v>
      </c>
      <c r="B48" s="151"/>
      <c r="C48" s="31">
        <f>-'[1]4Q12 Trial Balance'!$F$249-C51</f>
        <v>71218.12</v>
      </c>
      <c r="D48" s="149"/>
      <c r="E48" s="63"/>
      <c r="F48" s="63"/>
    </row>
    <row r="49" spans="1:5" s="54" customFormat="1" ht="15" customHeight="1">
      <c r="A49" s="152" t="s">
        <v>141</v>
      </c>
      <c r="B49" s="151">
        <f>'[1]4Q12 Trial Balance'!$F$36</f>
        <v>11914.7</v>
      </c>
      <c r="C49" s="31"/>
      <c r="D49" s="149"/>
      <c r="E49" s="62"/>
    </row>
    <row r="50" spans="1:5" s="54" customFormat="1" ht="15" customHeight="1">
      <c r="A50" s="152" t="s">
        <v>142</v>
      </c>
      <c r="B50" s="153">
        <v>15822</v>
      </c>
      <c r="C50" s="31"/>
      <c r="D50" s="149"/>
      <c r="E50" s="62"/>
    </row>
    <row r="51" spans="1:5" s="54" customFormat="1" ht="15" customHeight="1">
      <c r="A51" s="152" t="s">
        <v>143</v>
      </c>
      <c r="B51" s="151"/>
      <c r="C51" s="154">
        <f>B49-B50</f>
        <v>-3907.2999999999993</v>
      </c>
      <c r="D51" s="149"/>
      <c r="E51" s="62"/>
    </row>
    <row r="52" spans="1:5" s="54" customFormat="1" ht="15" customHeight="1">
      <c r="A52" s="150" t="s">
        <v>144</v>
      </c>
      <c r="B52" s="151"/>
      <c r="C52" s="31"/>
      <c r="D52" s="159">
        <f>C48+C51</f>
        <v>67310.81999999999</v>
      </c>
      <c r="E52" s="62"/>
    </row>
    <row r="53" spans="1:5" s="54" customFormat="1" ht="15" customHeight="1">
      <c r="A53" s="152" t="s">
        <v>148</v>
      </c>
      <c r="B53" s="151"/>
      <c r="C53" s="31"/>
      <c r="D53" s="166">
        <f>-'[1]4Q12 Trial Balance'!$F$255</f>
        <v>11064.85</v>
      </c>
      <c r="E53" s="62"/>
    </row>
    <row r="54" spans="1:5" s="54" customFormat="1" ht="15" customHeight="1">
      <c r="A54" s="150" t="s">
        <v>145</v>
      </c>
      <c r="B54" s="151"/>
      <c r="C54" s="31"/>
      <c r="D54" s="159">
        <f>SUM(D52:D53)</f>
        <v>78375.67</v>
      </c>
      <c r="E54" s="62"/>
    </row>
    <row r="55" spans="1:6" s="54" customFormat="1" ht="15" customHeight="1">
      <c r="A55" s="152" t="s">
        <v>146</v>
      </c>
      <c r="B55" s="151"/>
      <c r="C55" s="31"/>
      <c r="D55" s="162">
        <f>-'[1]4Q12 Trial Balance'!$F$261</f>
        <v>22376.78</v>
      </c>
      <c r="E55" s="62"/>
      <c r="F55" s="63"/>
    </row>
    <row r="56" spans="1:6" s="54" customFormat="1" ht="15" customHeight="1">
      <c r="A56" s="167" t="s">
        <v>147</v>
      </c>
      <c r="B56" s="153"/>
      <c r="C56" s="156"/>
      <c r="D56" s="164">
        <f>D47+D54+D55+1</f>
        <v>-9492298.730000002</v>
      </c>
      <c r="E56" s="165"/>
      <c r="F56" s="168"/>
    </row>
    <row r="57" spans="1:5" s="54" customFormat="1" ht="15" customHeight="1">
      <c r="A57" s="169"/>
      <c r="B57" s="170"/>
      <c r="C57" s="170"/>
      <c r="D57" s="170"/>
      <c r="E57" s="62"/>
    </row>
    <row r="58" spans="1:5" s="54" customFormat="1" ht="15" customHeight="1">
      <c r="A58" s="169"/>
      <c r="B58" s="170"/>
      <c r="C58" s="170"/>
      <c r="D58" s="170"/>
      <c r="E58" s="62"/>
    </row>
    <row r="59" spans="1:5" s="54" customFormat="1" ht="15" customHeight="1">
      <c r="A59" s="169"/>
      <c r="B59" s="170"/>
      <c r="C59" s="170"/>
      <c r="D59" s="170"/>
      <c r="E59" s="62"/>
    </row>
    <row r="60" spans="1:5" s="54" customFormat="1" ht="15" customHeight="1">
      <c r="A60" s="169"/>
      <c r="B60" s="170"/>
      <c r="C60" s="170"/>
      <c r="D60" s="170"/>
      <c r="E60" s="62"/>
    </row>
    <row r="61" spans="1:5" s="54" customFormat="1" ht="15" customHeight="1">
      <c r="A61" s="169"/>
      <c r="B61" s="170"/>
      <c r="C61" s="170"/>
      <c r="D61" s="170"/>
      <c r="E61" s="62"/>
    </row>
    <row r="62" spans="1:5" s="54" customFormat="1" ht="15" customHeight="1">
      <c r="A62" s="169"/>
      <c r="B62" s="170"/>
      <c r="C62" s="170"/>
      <c r="D62" s="170"/>
      <c r="E62" s="62"/>
    </row>
    <row r="63" spans="1:5" s="54" customFormat="1" ht="15" customHeight="1">
      <c r="A63" s="169"/>
      <c r="B63" s="170"/>
      <c r="C63" s="170"/>
      <c r="D63" s="170"/>
      <c r="E63" s="62"/>
    </row>
    <row r="64" spans="1:5" s="54" customFormat="1" ht="15" customHeight="1">
      <c r="A64" s="169"/>
      <c r="B64" s="171"/>
      <c r="C64" s="170"/>
      <c r="D64" s="170"/>
      <c r="E64" s="62"/>
    </row>
    <row r="65" spans="1:5" s="54" customFormat="1" ht="15" customHeight="1">
      <c r="A65" s="169"/>
      <c r="B65" s="171"/>
      <c r="C65" s="170"/>
      <c r="D65" s="170"/>
      <c r="E65" s="62"/>
    </row>
    <row r="66" spans="1:5" s="54" customFormat="1" ht="15" customHeight="1">
      <c r="A66" s="169"/>
      <c r="B66" s="171"/>
      <c r="C66" s="170"/>
      <c r="D66" s="170"/>
      <c r="E66" s="62"/>
    </row>
    <row r="67" spans="1:5" s="54" customFormat="1" ht="15" customHeight="1">
      <c r="A67" s="169"/>
      <c r="B67" s="171"/>
      <c r="C67" s="172"/>
      <c r="D67" s="170"/>
      <c r="E67" s="62"/>
    </row>
    <row r="68" spans="1:5" s="54" customFormat="1" ht="15" customHeight="1">
      <c r="A68" s="169"/>
      <c r="B68" s="171"/>
      <c r="C68" s="170"/>
      <c r="D68" s="170"/>
      <c r="E68" s="62"/>
    </row>
    <row r="69" spans="2:5" s="54" customFormat="1" ht="15" customHeight="1">
      <c r="B69" s="171"/>
      <c r="C69" s="170"/>
      <c r="D69" s="170"/>
      <c r="E69" s="62"/>
    </row>
    <row r="70" spans="1:5" s="54" customFormat="1" ht="15" customHeight="1">
      <c r="A70" s="169"/>
      <c r="B70" s="171"/>
      <c r="C70" s="170"/>
      <c r="D70" s="170"/>
      <c r="E70" s="62"/>
    </row>
    <row r="71" spans="1:5" s="54" customFormat="1" ht="15" customHeight="1">
      <c r="A71" s="169"/>
      <c r="B71" s="171"/>
      <c r="C71" s="170"/>
      <c r="D71" s="170"/>
      <c r="E71" s="62"/>
    </row>
    <row r="72" spans="1:5" s="54" customFormat="1" ht="15" customHeight="1">
      <c r="A72" s="169"/>
      <c r="B72" s="173"/>
      <c r="C72" s="170"/>
      <c r="D72" s="170"/>
      <c r="E72" s="62"/>
    </row>
    <row r="73" spans="1:5" s="54" customFormat="1" ht="15" customHeight="1">
      <c r="A73" s="169"/>
      <c r="B73" s="170"/>
      <c r="C73" s="172"/>
      <c r="D73" s="170"/>
      <c r="E73" s="62"/>
    </row>
    <row r="74" spans="1:5" s="54" customFormat="1" ht="15" customHeight="1">
      <c r="A74" s="169"/>
      <c r="B74" s="170"/>
      <c r="C74" s="170"/>
      <c r="D74" s="170"/>
      <c r="E74" s="62"/>
    </row>
    <row r="75" spans="1:5" s="54" customFormat="1" ht="15" customHeight="1">
      <c r="A75" s="169"/>
      <c r="B75" s="170"/>
      <c r="C75" s="170"/>
      <c r="D75" s="170"/>
      <c r="E75" s="62"/>
    </row>
    <row r="76" spans="1:5" s="54" customFormat="1" ht="15" customHeight="1">
      <c r="A76" s="169"/>
      <c r="B76" s="170"/>
      <c r="C76" s="170"/>
      <c r="D76" s="170"/>
      <c r="E76" s="62"/>
    </row>
    <row r="77" spans="1:5" s="54" customFormat="1" ht="15" customHeight="1">
      <c r="A77" s="169"/>
      <c r="B77" s="170"/>
      <c r="C77" s="170"/>
      <c r="D77" s="170"/>
      <c r="E77" s="62"/>
    </row>
    <row r="78" spans="1:5" s="54" customFormat="1" ht="15" customHeight="1">
      <c r="A78" s="169"/>
      <c r="B78" s="170"/>
      <c r="C78" s="170"/>
      <c r="D78" s="170"/>
      <c r="E78" s="62"/>
    </row>
    <row r="79" spans="1:5" s="54" customFormat="1" ht="15" customHeight="1">
      <c r="A79" s="169"/>
      <c r="B79" s="170"/>
      <c r="C79" s="170"/>
      <c r="D79" s="170"/>
      <c r="E79" s="62"/>
    </row>
    <row r="80" spans="1:5" s="54" customFormat="1" ht="15" customHeight="1">
      <c r="A80" s="169"/>
      <c r="B80" s="170"/>
      <c r="C80" s="170"/>
      <c r="D80" s="170"/>
      <c r="E80" s="62"/>
    </row>
    <row r="81" spans="1:5" s="54" customFormat="1" ht="15" customHeight="1">
      <c r="A81" s="169"/>
      <c r="B81" s="170"/>
      <c r="C81" s="170"/>
      <c r="D81" s="170"/>
      <c r="E81" s="62"/>
    </row>
    <row r="82" spans="1:5" s="54" customFormat="1" ht="15" customHeight="1">
      <c r="A82" s="169"/>
      <c r="B82" s="170"/>
      <c r="C82" s="170"/>
      <c r="D82" s="170"/>
      <c r="E82" s="62"/>
    </row>
    <row r="83" spans="1:5" s="54" customFormat="1" ht="15" customHeight="1">
      <c r="A83" s="169"/>
      <c r="B83" s="170"/>
      <c r="C83" s="170"/>
      <c r="D83" s="170"/>
      <c r="E83" s="62"/>
    </row>
    <row r="84" spans="1:5" s="54" customFormat="1" ht="15" customHeight="1">
      <c r="A84" s="169"/>
      <c r="B84" s="170"/>
      <c r="C84" s="170"/>
      <c r="D84" s="170"/>
      <c r="E84" s="62"/>
    </row>
    <row r="85" spans="1:5" s="54" customFormat="1" ht="15" customHeight="1">
      <c r="A85" s="169"/>
      <c r="B85" s="170"/>
      <c r="C85" s="170"/>
      <c r="D85" s="170"/>
      <c r="E85" s="62"/>
    </row>
    <row r="86" spans="1:5" s="54" customFormat="1" ht="15" customHeight="1">
      <c r="A86" s="169"/>
      <c r="B86" s="170"/>
      <c r="C86" s="170"/>
      <c r="D86" s="170"/>
      <c r="E86" s="62"/>
    </row>
    <row r="87" spans="1:5" s="54" customFormat="1" ht="15" customHeight="1">
      <c r="A87" s="169"/>
      <c r="B87" s="170"/>
      <c r="C87" s="170"/>
      <c r="D87" s="170"/>
      <c r="E87" s="62"/>
    </row>
    <row r="88" spans="1:5" s="54" customFormat="1" ht="15" customHeight="1">
      <c r="A88" s="169"/>
      <c r="B88" s="170"/>
      <c r="C88" s="170"/>
      <c r="D88" s="170"/>
      <c r="E88" s="62"/>
    </row>
    <row r="89" spans="1:5" s="54" customFormat="1" ht="15" customHeight="1">
      <c r="A89" s="169"/>
      <c r="B89" s="170"/>
      <c r="C89" s="173"/>
      <c r="D89" s="173"/>
      <c r="E89" s="62"/>
    </row>
    <row r="90" spans="1:5" s="54" customFormat="1" ht="15" customHeight="1">
      <c r="A90" s="169"/>
      <c r="B90" s="170"/>
      <c r="C90" s="173"/>
      <c r="D90" s="173"/>
      <c r="E90" s="62"/>
    </row>
    <row r="91" spans="1:5" s="54" customFormat="1" ht="15" customHeight="1">
      <c r="A91" s="169"/>
      <c r="B91" s="170"/>
      <c r="C91" s="173"/>
      <c r="D91" s="173"/>
      <c r="E91" s="62"/>
    </row>
    <row r="92" spans="1:5" s="54" customFormat="1" ht="15" customHeight="1">
      <c r="A92" s="169"/>
      <c r="B92" s="173"/>
      <c r="C92" s="173"/>
      <c r="D92" s="173"/>
      <c r="E92" s="62"/>
    </row>
    <row r="93" spans="1:5" s="54" customFormat="1" ht="15" customHeight="1">
      <c r="A93" s="169"/>
      <c r="B93" s="173"/>
      <c r="C93" s="173"/>
      <c r="D93" s="173"/>
      <c r="E93" s="62"/>
    </row>
    <row r="94" spans="1:5" s="54" customFormat="1" ht="15" customHeight="1">
      <c r="A94" s="169"/>
      <c r="B94" s="173"/>
      <c r="C94" s="173"/>
      <c r="D94" s="173"/>
      <c r="E94" s="62"/>
    </row>
    <row r="95" spans="1:5" s="54" customFormat="1" ht="15" customHeight="1">
      <c r="A95" s="169"/>
      <c r="B95" s="173"/>
      <c r="C95" s="173"/>
      <c r="D95" s="173"/>
      <c r="E95" s="62"/>
    </row>
    <row r="96" spans="1:5" s="54" customFormat="1" ht="15" customHeight="1">
      <c r="A96" s="169"/>
      <c r="B96" s="173"/>
      <c r="C96" s="173"/>
      <c r="D96" s="173"/>
      <c r="E96" s="62"/>
    </row>
    <row r="97" spans="1:5" s="54" customFormat="1" ht="15" customHeight="1">
      <c r="A97" s="169"/>
      <c r="B97" s="173"/>
      <c r="C97" s="173"/>
      <c r="D97" s="173"/>
      <c r="E97" s="62"/>
    </row>
    <row r="98" spans="1:5" s="54" customFormat="1" ht="15" customHeight="1">
      <c r="A98" s="169"/>
      <c r="B98" s="173"/>
      <c r="C98" s="173"/>
      <c r="D98" s="173"/>
      <c r="E98" s="62"/>
    </row>
    <row r="99" spans="1:5" s="54" customFormat="1" ht="15" customHeight="1">
      <c r="A99" s="169"/>
      <c r="B99" s="173"/>
      <c r="C99" s="173"/>
      <c r="D99" s="173"/>
      <c r="E99" s="62"/>
    </row>
    <row r="100" spans="1:5" s="54" customFormat="1" ht="15" customHeight="1">
      <c r="A100" s="169"/>
      <c r="B100" s="173"/>
      <c r="C100" s="173"/>
      <c r="D100" s="173"/>
      <c r="E100" s="62"/>
    </row>
    <row r="101" spans="1:5" s="54" customFormat="1" ht="15" customHeight="1">
      <c r="A101" s="169"/>
      <c r="B101" s="173"/>
      <c r="C101" s="173"/>
      <c r="D101" s="173"/>
      <c r="E101" s="62"/>
    </row>
    <row r="102" spans="1:5" s="54" customFormat="1" ht="15" customHeight="1">
      <c r="A102" s="169"/>
      <c r="B102" s="173"/>
      <c r="C102" s="173"/>
      <c r="D102" s="173"/>
      <c r="E102" s="62"/>
    </row>
    <row r="103" spans="1:5" s="54" customFormat="1" ht="15" customHeight="1">
      <c r="A103" s="169"/>
      <c r="B103" s="173"/>
      <c r="C103" s="173"/>
      <c r="D103" s="173"/>
      <c r="E103" s="62"/>
    </row>
    <row r="104" spans="1:5" s="54" customFormat="1" ht="15" customHeight="1">
      <c r="A104" s="169"/>
      <c r="B104" s="173"/>
      <c r="C104" s="173"/>
      <c r="D104" s="173"/>
      <c r="E104" s="62"/>
    </row>
    <row r="105" spans="1:5" s="54" customFormat="1" ht="15" customHeight="1">
      <c r="A105" s="169"/>
      <c r="B105" s="173"/>
      <c r="C105" s="173"/>
      <c r="D105" s="173"/>
      <c r="E105" s="62"/>
    </row>
    <row r="106" spans="1:5" s="54" customFormat="1" ht="15" customHeight="1">
      <c r="A106" s="169"/>
      <c r="B106" s="173"/>
      <c r="C106" s="173"/>
      <c r="D106" s="173"/>
      <c r="E106" s="62"/>
    </row>
    <row r="107" spans="1:5" s="54" customFormat="1" ht="15" customHeight="1">
      <c r="A107" s="169"/>
      <c r="B107" s="173"/>
      <c r="C107" s="173"/>
      <c r="D107" s="173"/>
      <c r="E107" s="62"/>
    </row>
    <row r="108" spans="1:5" s="54" customFormat="1" ht="15" customHeight="1">
      <c r="A108" s="169"/>
      <c r="B108" s="173"/>
      <c r="C108" s="173"/>
      <c r="D108" s="173"/>
      <c r="E108" s="62"/>
    </row>
    <row r="109" spans="1:5" s="54" customFormat="1" ht="15" customHeight="1">
      <c r="A109" s="169"/>
      <c r="B109" s="173"/>
      <c r="C109" s="173"/>
      <c r="D109" s="173"/>
      <c r="E109" s="62"/>
    </row>
    <row r="110" spans="1:5" s="54" customFormat="1" ht="15" customHeight="1">
      <c r="A110" s="169"/>
      <c r="B110" s="173"/>
      <c r="C110" s="173"/>
      <c r="D110" s="173"/>
      <c r="E110" s="62"/>
    </row>
    <row r="111" spans="1:5" s="54" customFormat="1" ht="15" customHeight="1">
      <c r="A111" s="169"/>
      <c r="B111" s="173"/>
      <c r="C111" s="173"/>
      <c r="D111" s="173"/>
      <c r="E111" s="62"/>
    </row>
    <row r="112" spans="1:5" s="54" customFormat="1" ht="15" customHeight="1">
      <c r="A112" s="169"/>
      <c r="B112" s="173"/>
      <c r="C112" s="173"/>
      <c r="D112" s="173"/>
      <c r="E112" s="62"/>
    </row>
    <row r="113" spans="1:5" s="54" customFormat="1" ht="15" customHeight="1">
      <c r="A113" s="169"/>
      <c r="B113" s="173"/>
      <c r="C113" s="173"/>
      <c r="D113" s="173"/>
      <c r="E113" s="62"/>
    </row>
    <row r="114" spans="1:5" s="54" customFormat="1" ht="15" customHeight="1">
      <c r="A114" s="169"/>
      <c r="B114" s="173"/>
      <c r="C114" s="173"/>
      <c r="D114" s="173"/>
      <c r="E114" s="62"/>
    </row>
    <row r="115" spans="1:5" s="54" customFormat="1" ht="15" customHeight="1">
      <c r="A115" s="169"/>
      <c r="B115" s="173"/>
      <c r="C115" s="173"/>
      <c r="D115" s="173"/>
      <c r="E115" s="62"/>
    </row>
    <row r="116" spans="1:5" s="54" customFormat="1" ht="15" customHeight="1">
      <c r="A116" s="169"/>
      <c r="B116" s="173"/>
      <c r="C116" s="173"/>
      <c r="D116" s="173"/>
      <c r="E116" s="62"/>
    </row>
    <row r="117" spans="1:5" s="54" customFormat="1" ht="15" customHeight="1">
      <c r="A117" s="169"/>
      <c r="B117" s="173"/>
      <c r="C117" s="173"/>
      <c r="D117" s="173"/>
      <c r="E117" s="62"/>
    </row>
    <row r="118" spans="1:5" s="54" customFormat="1" ht="15" customHeight="1">
      <c r="A118" s="169"/>
      <c r="B118" s="173"/>
      <c r="C118" s="173"/>
      <c r="D118" s="173"/>
      <c r="E118" s="62"/>
    </row>
    <row r="119" spans="1:5" s="54" customFormat="1" ht="15" customHeight="1">
      <c r="A119" s="169"/>
      <c r="B119" s="173"/>
      <c r="C119" s="173"/>
      <c r="D119" s="173"/>
      <c r="E119" s="62"/>
    </row>
    <row r="120" spans="1:5" s="54" customFormat="1" ht="15" customHeight="1">
      <c r="A120" s="169"/>
      <c r="B120" s="173"/>
      <c r="C120" s="173"/>
      <c r="D120" s="173"/>
      <c r="E120" s="62"/>
    </row>
    <row r="121" spans="1:5" s="54" customFormat="1" ht="15" customHeight="1">
      <c r="A121" s="174"/>
      <c r="B121" s="173"/>
      <c r="C121" s="173"/>
      <c r="D121" s="173"/>
      <c r="E121" s="62"/>
    </row>
    <row r="122" spans="1:5" s="54" customFormat="1" ht="15" customHeight="1">
      <c r="A122" s="174"/>
      <c r="B122" s="173"/>
      <c r="C122" s="173"/>
      <c r="D122" s="173"/>
      <c r="E122" s="62"/>
    </row>
    <row r="123" spans="1:5" s="54" customFormat="1" ht="15" customHeight="1">
      <c r="A123" s="174"/>
      <c r="B123" s="173"/>
      <c r="C123" s="173"/>
      <c r="D123" s="173"/>
      <c r="E123" s="62"/>
    </row>
    <row r="124" spans="1:5" s="54" customFormat="1" ht="15" customHeight="1">
      <c r="A124" s="174"/>
      <c r="B124" s="173"/>
      <c r="C124" s="173"/>
      <c r="D124" s="173"/>
      <c r="E124" s="62"/>
    </row>
    <row r="125" spans="1:5" s="54" customFormat="1" ht="15" customHeight="1">
      <c r="A125" s="174"/>
      <c r="B125" s="173"/>
      <c r="C125" s="173"/>
      <c r="D125" s="173"/>
      <c r="E125" s="62"/>
    </row>
    <row r="126" spans="1:5" s="54" customFormat="1" ht="15" customHeight="1">
      <c r="A126" s="174"/>
      <c r="B126" s="173"/>
      <c r="C126" s="173"/>
      <c r="D126" s="173"/>
      <c r="E126" s="62"/>
    </row>
    <row r="127" spans="1:5" s="54" customFormat="1" ht="15" customHeight="1">
      <c r="A127" s="174"/>
      <c r="B127" s="173"/>
      <c r="C127" s="173"/>
      <c r="D127" s="173"/>
      <c r="E127" s="62"/>
    </row>
    <row r="128" ht="15" customHeight="1">
      <c r="A128" s="175"/>
    </row>
    <row r="129" s="48" customFormat="1" ht="15" customHeight="1">
      <c r="A129" s="175"/>
    </row>
    <row r="130" s="48" customFormat="1" ht="15" customHeight="1">
      <c r="A130" s="175"/>
    </row>
    <row r="131" s="48" customFormat="1" ht="15" customHeight="1">
      <c r="A131" s="175"/>
    </row>
    <row r="132" s="48" customFormat="1" ht="15" customHeight="1">
      <c r="A132" s="175"/>
    </row>
    <row r="133" s="48" customFormat="1" ht="15" customHeight="1">
      <c r="A133" s="175"/>
    </row>
    <row r="134" s="48" customFormat="1" ht="15" customHeight="1">
      <c r="A134" s="175"/>
    </row>
    <row r="135" s="48" customFormat="1" ht="15" customHeight="1">
      <c r="A135" s="175"/>
    </row>
    <row r="136" s="48" customFormat="1" ht="15" customHeight="1">
      <c r="A136" s="175"/>
    </row>
    <row r="137" s="48" customFormat="1" ht="15" customHeight="1">
      <c r="A137" s="175"/>
    </row>
    <row r="138" s="48" customFormat="1" ht="15" customHeight="1">
      <c r="A138" s="175"/>
    </row>
    <row r="139" s="48" customFormat="1" ht="15" customHeight="1">
      <c r="A139" s="175"/>
    </row>
    <row r="140" s="48" customFormat="1" ht="15" customHeight="1">
      <c r="A140" s="175"/>
    </row>
    <row r="141" s="48" customFormat="1" ht="15" customHeight="1">
      <c r="A141" s="175"/>
    </row>
    <row r="142" s="48" customFormat="1" ht="15" customHeight="1">
      <c r="A142" s="175"/>
    </row>
    <row r="143" s="48" customFormat="1" ht="15" customHeight="1">
      <c r="A143" s="175"/>
    </row>
    <row r="144" s="48" customFormat="1" ht="15" customHeight="1">
      <c r="A144" s="175"/>
    </row>
    <row r="145" s="48" customFormat="1" ht="15" customHeight="1">
      <c r="A145" s="175"/>
    </row>
    <row r="146" s="48" customFormat="1" ht="15" customHeight="1">
      <c r="A146" s="175"/>
    </row>
    <row r="147" s="48" customFormat="1" ht="15" customHeight="1">
      <c r="A147" s="175"/>
    </row>
    <row r="148" s="48" customFormat="1" ht="15" customHeight="1">
      <c r="A148" s="175"/>
    </row>
    <row r="149" s="48" customFormat="1" ht="15" customHeight="1">
      <c r="A149" s="175"/>
    </row>
    <row r="150" s="48" customFormat="1" ht="15" customHeight="1">
      <c r="A150" s="175"/>
    </row>
    <row r="151" s="48" customFormat="1" ht="15" customHeight="1">
      <c r="A151" s="175"/>
    </row>
    <row r="152" s="48" customFormat="1" ht="15" customHeight="1">
      <c r="A152" s="175"/>
    </row>
    <row r="153" s="48" customFormat="1" ht="15" customHeight="1">
      <c r="A153" s="175"/>
    </row>
    <row r="154" s="48" customFormat="1" ht="15" customHeight="1">
      <c r="A154" s="175"/>
    </row>
    <row r="155" s="48" customFormat="1" ht="15" customHeight="1">
      <c r="A155" s="175"/>
    </row>
    <row r="156" s="48" customFormat="1" ht="15" customHeight="1">
      <c r="A156" s="175"/>
    </row>
    <row r="157" s="48" customFormat="1" ht="15" customHeight="1">
      <c r="A157" s="175"/>
    </row>
    <row r="158" s="48" customFormat="1" ht="15" customHeight="1">
      <c r="A158" s="175"/>
    </row>
    <row r="159" s="48" customFormat="1" ht="15" customHeight="1">
      <c r="A159" s="175"/>
    </row>
    <row r="160" s="48" customFormat="1" ht="15" customHeight="1">
      <c r="A160" s="175"/>
    </row>
    <row r="161" s="48" customFormat="1" ht="15" customHeight="1">
      <c r="A161" s="175"/>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189" customWidth="1"/>
    <col min="2" max="6" width="18.7109375" style="223" customWidth="1"/>
    <col min="7" max="16384" width="15.7109375" style="189" customWidth="1"/>
  </cols>
  <sheetData>
    <row r="1" spans="1:6" s="181" customFormat="1" ht="30" customHeight="1">
      <c r="A1" s="178" t="s">
        <v>0</v>
      </c>
      <c r="B1" s="179"/>
      <c r="C1" s="179"/>
      <c r="D1" s="179"/>
      <c r="E1" s="179"/>
      <c r="F1" s="180"/>
    </row>
    <row r="2" spans="1:6" s="185" customFormat="1" ht="15" customHeight="1">
      <c r="A2" s="182"/>
      <c r="B2" s="183"/>
      <c r="C2" s="183"/>
      <c r="D2" s="183"/>
      <c r="E2" s="183"/>
      <c r="F2" s="184"/>
    </row>
    <row r="3" spans="1:6" ht="15" customHeight="1">
      <c r="A3" s="186" t="s">
        <v>149</v>
      </c>
      <c r="B3" s="187"/>
      <c r="C3" s="187"/>
      <c r="D3" s="187"/>
      <c r="E3" s="187"/>
      <c r="F3" s="188"/>
    </row>
    <row r="4" spans="1:6" ht="15" customHeight="1">
      <c r="A4" s="186" t="s">
        <v>192</v>
      </c>
      <c r="B4" s="187"/>
      <c r="C4" s="187"/>
      <c r="D4" s="187"/>
      <c r="E4" s="187"/>
      <c r="F4" s="188"/>
    </row>
    <row r="5" spans="1:6" s="7" customFormat="1" ht="15" customHeight="1">
      <c r="A5" s="190"/>
      <c r="B5" s="191"/>
      <c r="C5" s="191"/>
      <c r="D5" s="191"/>
      <c r="E5" s="191"/>
      <c r="F5" s="191"/>
    </row>
    <row r="6" spans="2:6" s="7" customFormat="1" ht="30" customHeight="1">
      <c r="B6" s="192" t="s">
        <v>1</v>
      </c>
      <c r="C6" s="192" t="s">
        <v>2</v>
      </c>
      <c r="D6" s="192" t="s">
        <v>3</v>
      </c>
      <c r="E6" s="192" t="s">
        <v>4</v>
      </c>
      <c r="F6" s="193" t="s">
        <v>5</v>
      </c>
    </row>
    <row r="7" spans="1:6" s="195" customFormat="1" ht="15" customHeight="1">
      <c r="A7" s="194" t="s">
        <v>150</v>
      </c>
      <c r="B7" s="20"/>
      <c r="C7" s="20"/>
      <c r="D7" s="20"/>
      <c r="E7" s="20"/>
      <c r="F7" s="20"/>
    </row>
    <row r="8" spans="1:6" s="7" customFormat="1" ht="15" customHeight="1">
      <c r="A8" s="196" t="s">
        <v>151</v>
      </c>
      <c r="B8" s="197"/>
      <c r="C8" s="197"/>
      <c r="D8" s="197"/>
      <c r="E8" s="197"/>
      <c r="F8" s="197"/>
    </row>
    <row r="9" spans="1:6" s="195" customFormat="1" ht="15" customHeight="1">
      <c r="A9" s="198" t="s">
        <v>152</v>
      </c>
      <c r="B9" s="199">
        <f>-'[1]4Q12 Trial Balance'!C205</f>
        <v>2020312</v>
      </c>
      <c r="C9" s="199">
        <f>-'[1]4Q12 Trial Balance'!C201</f>
        <v>-1775</v>
      </c>
      <c r="D9" s="304">
        <f>'[1]4Q12 Trial Balance'!C198</f>
        <v>0</v>
      </c>
      <c r="E9" s="304">
        <v>0</v>
      </c>
      <c r="F9" s="199">
        <f>SUM(B9:E9)</f>
        <v>2018537</v>
      </c>
    </row>
    <row r="10" spans="1:6" s="7" customFormat="1" ht="15" customHeight="1">
      <c r="A10" s="198" t="s">
        <v>153</v>
      </c>
      <c r="B10" s="201">
        <f>-'[1]4Q12 Trial Balance'!C206</f>
        <v>659278</v>
      </c>
      <c r="C10" s="202">
        <f>-'[1]4Q12 Trial Balance'!C202</f>
        <v>-596</v>
      </c>
      <c r="D10" s="304">
        <f>'[1]4Q12 Trial Balance'!C199</f>
        <v>0</v>
      </c>
      <c r="E10" s="304">
        <v>0</v>
      </c>
      <c r="F10" s="24">
        <f>SUM(B10:E10)</f>
        <v>658682</v>
      </c>
    </row>
    <row r="11" spans="1:6" s="7" customFormat="1" ht="15" customHeight="1">
      <c r="A11" s="198" t="s">
        <v>154</v>
      </c>
      <c r="B11" s="201">
        <f>-'[1]4Q12 Trial Balance'!C207</f>
        <v>7645</v>
      </c>
      <c r="C11" s="304">
        <f>'[1]4Q12 Trial Balance'!C203</f>
        <v>0</v>
      </c>
      <c r="D11" s="304">
        <v>0</v>
      </c>
      <c r="E11" s="304">
        <v>0</v>
      </c>
      <c r="F11" s="24">
        <f>SUM(B11:E11)</f>
        <v>7645</v>
      </c>
    </row>
    <row r="12" spans="1:6" s="29" customFormat="1" ht="15" customHeight="1" thickBot="1">
      <c r="A12" s="203" t="s">
        <v>155</v>
      </c>
      <c r="B12" s="204">
        <f>SUM(B9:B11)</f>
        <v>2687235</v>
      </c>
      <c r="C12" s="205">
        <f>SUM(C9:C11)</f>
        <v>-2371</v>
      </c>
      <c r="D12" s="34">
        <f>SUM(D9:D11)</f>
        <v>0</v>
      </c>
      <c r="E12" s="34">
        <f>SUM(E9:E11)</f>
        <v>0</v>
      </c>
      <c r="F12" s="207">
        <f>SUM(F9:F11)</f>
        <v>2684864</v>
      </c>
    </row>
    <row r="13" spans="1:6" s="29" customFormat="1" ht="15" customHeight="1" thickTop="1">
      <c r="A13" s="198"/>
      <c r="B13" s="208"/>
      <c r="C13" s="208"/>
      <c r="D13" s="208"/>
      <c r="E13" s="208"/>
      <c r="F13" s="209"/>
    </row>
    <row r="14" spans="1:6" s="29" customFormat="1" ht="30" customHeight="1">
      <c r="A14" s="196" t="s">
        <v>195</v>
      </c>
      <c r="B14" s="208"/>
      <c r="C14" s="208"/>
      <c r="D14" s="208"/>
      <c r="E14" s="208"/>
      <c r="F14" s="208"/>
    </row>
    <row r="15" spans="1:6" s="29" customFormat="1" ht="15" customHeight="1">
      <c r="A15" s="198" t="s">
        <v>152</v>
      </c>
      <c r="B15" s="208">
        <f>-'[1]4Q12 Trial Balance'!E68</f>
        <v>4155835.06</v>
      </c>
      <c r="C15" s="304">
        <v>0</v>
      </c>
      <c r="D15" s="304">
        <v>0</v>
      </c>
      <c r="E15" s="304">
        <v>0</v>
      </c>
      <c r="F15" s="24">
        <f>SUM(B15:E15)</f>
        <v>4155835.06</v>
      </c>
    </row>
    <row r="16" spans="1:6" s="29" customFormat="1" ht="15" customHeight="1">
      <c r="A16" s="198" t="s">
        <v>156</v>
      </c>
      <c r="B16" s="208">
        <f>-'[1]4Q12 Trial Balance'!E69</f>
        <v>1382422.14</v>
      </c>
      <c r="C16" s="304">
        <v>0</v>
      </c>
      <c r="D16" s="304">
        <v>0</v>
      </c>
      <c r="E16" s="304">
        <v>0</v>
      </c>
      <c r="F16" s="24">
        <f>SUM(B16:E16)</f>
        <v>1382422.14</v>
      </c>
    </row>
    <row r="17" spans="1:6" s="29" customFormat="1" ht="15" customHeight="1">
      <c r="A17" s="198" t="s">
        <v>157</v>
      </c>
      <c r="B17" s="208">
        <f>-'[1]4Q12 Trial Balance'!E70</f>
        <v>15856.23</v>
      </c>
      <c r="C17" s="304">
        <v>0</v>
      </c>
      <c r="D17" s="304">
        <v>0</v>
      </c>
      <c r="E17" s="304">
        <v>0</v>
      </c>
      <c r="F17" s="210">
        <f>SUM(B17:E17)</f>
        <v>15856.23</v>
      </c>
    </row>
    <row r="18" spans="1:6" s="29" customFormat="1" ht="15" customHeight="1" thickBot="1">
      <c r="A18" s="203" t="s">
        <v>155</v>
      </c>
      <c r="B18" s="204">
        <f>SUM(B15:B17)</f>
        <v>5554113.430000001</v>
      </c>
      <c r="C18" s="34">
        <f>SUM(C15:C17)</f>
        <v>0</v>
      </c>
      <c r="D18" s="34">
        <f>SUM(D15:D17)</f>
        <v>0</v>
      </c>
      <c r="E18" s="34">
        <f>SUM(E15:E17)</f>
        <v>0</v>
      </c>
      <c r="F18" s="207">
        <f>SUM(F15:F17)</f>
        <v>5554113.430000001</v>
      </c>
    </row>
    <row r="19" spans="1:6" s="29" customFormat="1" ht="15" customHeight="1" thickTop="1">
      <c r="A19" s="198"/>
      <c r="B19" s="208"/>
      <c r="C19" s="208"/>
      <c r="D19" s="208"/>
      <c r="E19" s="208"/>
      <c r="F19" s="209"/>
    </row>
    <row r="20" spans="1:6" s="29" customFormat="1" ht="30" customHeight="1">
      <c r="A20" s="196" t="s">
        <v>196</v>
      </c>
      <c r="B20" s="211"/>
      <c r="C20" s="211"/>
      <c r="D20" s="211"/>
      <c r="E20" s="211"/>
      <c r="F20" s="208"/>
    </row>
    <row r="21" spans="1:6" s="29" customFormat="1" ht="15" customHeight="1">
      <c r="A21" s="198" t="s">
        <v>152</v>
      </c>
      <c r="B21" s="208">
        <v>3994911.34</v>
      </c>
      <c r="C21" s="208">
        <v>255581.55</v>
      </c>
      <c r="D21" s="212">
        <v>0</v>
      </c>
      <c r="E21" s="212">
        <v>0</v>
      </c>
      <c r="F21" s="24">
        <f>SUM(B21:E21)</f>
        <v>4250492.89</v>
      </c>
    </row>
    <row r="22" spans="1:6" s="29" customFormat="1" ht="15" customHeight="1">
      <c r="A22" s="198" t="s">
        <v>153</v>
      </c>
      <c r="B22" s="208">
        <v>1328202.71</v>
      </c>
      <c r="C22" s="208">
        <v>71508.97</v>
      </c>
      <c r="D22" s="212">
        <v>0</v>
      </c>
      <c r="E22" s="212">
        <v>0</v>
      </c>
      <c r="F22" s="24">
        <f>SUM(B22:E22)</f>
        <v>1399711.68</v>
      </c>
    </row>
    <row r="23" spans="1:6" s="29" customFormat="1" ht="15" customHeight="1">
      <c r="A23" s="198" t="s">
        <v>154</v>
      </c>
      <c r="B23" s="208">
        <v>15413.7</v>
      </c>
      <c r="C23" s="208">
        <v>779.72</v>
      </c>
      <c r="D23" s="212">
        <v>0</v>
      </c>
      <c r="E23" s="212">
        <v>0</v>
      </c>
      <c r="F23" s="24">
        <f>SUM(B23:E23)+1</f>
        <v>16194.42</v>
      </c>
    </row>
    <row r="24" spans="1:6" s="29" customFormat="1" ht="15" customHeight="1" thickBot="1">
      <c r="A24" s="203" t="s">
        <v>155</v>
      </c>
      <c r="B24" s="204">
        <f>SUM(B21:B23)</f>
        <v>5338527.75</v>
      </c>
      <c r="C24" s="204">
        <f>SUM(C21:C23)+1</f>
        <v>327871.24</v>
      </c>
      <c r="D24" s="213">
        <f>SUM(D21:D23)</f>
        <v>0</v>
      </c>
      <c r="E24" s="213">
        <f>SUM(E21:E23)</f>
        <v>0</v>
      </c>
      <c r="F24" s="214">
        <f>SUM(B24:E24)</f>
        <v>5666398.99</v>
      </c>
    </row>
    <row r="25" spans="1:6" s="217" customFormat="1" ht="15" customHeight="1" thickTop="1">
      <c r="A25" s="215"/>
      <c r="B25" s="208"/>
      <c r="C25" s="208"/>
      <c r="D25" s="208"/>
      <c r="E25" s="208"/>
      <c r="F25" s="216"/>
    </row>
    <row r="26" spans="1:6" s="29" customFormat="1" ht="15" customHeight="1">
      <c r="A26" s="196" t="s">
        <v>158</v>
      </c>
      <c r="B26" s="208"/>
      <c r="C26" s="208"/>
      <c r="D26" s="208"/>
      <c r="E26" s="208"/>
      <c r="F26" s="208"/>
    </row>
    <row r="27" spans="1:6" s="29" customFormat="1" ht="15" customHeight="1">
      <c r="A27" s="198" t="s">
        <v>152</v>
      </c>
      <c r="B27" s="208">
        <f aca="true" t="shared" si="0" ref="B27:C29">B9-(B15-B21)</f>
        <v>1859388.2799999998</v>
      </c>
      <c r="C27" s="208">
        <f t="shared" si="0"/>
        <v>253806.55</v>
      </c>
      <c r="D27" s="212">
        <f aca="true" t="shared" si="1" ref="D27:E29">D9-(D15-D21)</f>
        <v>0</v>
      </c>
      <c r="E27" s="212">
        <f t="shared" si="1"/>
        <v>0</v>
      </c>
      <c r="F27" s="24">
        <f>SUM(B27:E27)</f>
        <v>2113194.8299999996</v>
      </c>
    </row>
    <row r="28" spans="1:6" s="29" customFormat="1" ht="15" customHeight="1">
      <c r="A28" s="198" t="s">
        <v>153</v>
      </c>
      <c r="B28" s="208">
        <f t="shared" si="0"/>
        <v>605058.5700000001</v>
      </c>
      <c r="C28" s="208">
        <f t="shared" si="0"/>
        <v>70912.97</v>
      </c>
      <c r="D28" s="212">
        <f t="shared" si="1"/>
        <v>0</v>
      </c>
      <c r="E28" s="212">
        <f t="shared" si="1"/>
        <v>0</v>
      </c>
      <c r="F28" s="24">
        <f>SUM(B28:E28)</f>
        <v>675971.54</v>
      </c>
    </row>
    <row r="29" spans="1:6" s="29" customFormat="1" ht="15" customHeight="1">
      <c r="A29" s="219" t="s">
        <v>154</v>
      </c>
      <c r="B29" s="24">
        <f>B11-(B17-B23)+1</f>
        <v>7203.470000000001</v>
      </c>
      <c r="C29" s="24">
        <f t="shared" si="0"/>
        <v>779.72</v>
      </c>
      <c r="D29" s="212">
        <f t="shared" si="1"/>
        <v>0</v>
      </c>
      <c r="E29" s="212">
        <f t="shared" si="1"/>
        <v>0</v>
      </c>
      <c r="F29" s="24">
        <f>SUM(B29:E29)</f>
        <v>7983.190000000001</v>
      </c>
    </row>
    <row r="30" spans="1:6" s="29" customFormat="1" ht="15" customHeight="1" thickBot="1">
      <c r="A30" s="203" t="s">
        <v>155</v>
      </c>
      <c r="B30" s="220">
        <f>SUM(B27:B29)</f>
        <v>2471650.32</v>
      </c>
      <c r="C30" s="313">
        <f>SUM(C27:C29)+1</f>
        <v>325500.24</v>
      </c>
      <c r="D30" s="222">
        <f>SUM(D27:D29)</f>
        <v>0</v>
      </c>
      <c r="E30" s="222">
        <f>SUM(E27:E29)</f>
        <v>0</v>
      </c>
      <c r="F30" s="220">
        <f>SUM(F27:F29)</f>
        <v>2797149.5599999996</v>
      </c>
    </row>
    <row r="31" spans="2:6" s="7" customFormat="1" ht="15" customHeight="1" thickTop="1">
      <c r="B31" s="209"/>
      <c r="C31" s="209"/>
      <c r="D31" s="209"/>
      <c r="E31" s="209"/>
      <c r="F31" s="209"/>
    </row>
    <row r="32" spans="1:6" s="7" customFormat="1" ht="15" customHeight="1">
      <c r="A32" s="332" t="s">
        <v>159</v>
      </c>
      <c r="B32" s="333"/>
      <c r="C32" s="333"/>
      <c r="D32" s="333"/>
      <c r="E32" s="332"/>
      <c r="F32" s="332"/>
    </row>
    <row r="33" spans="1:6" s="7" customFormat="1" ht="15" customHeight="1">
      <c r="A33" s="332"/>
      <c r="B33" s="333"/>
      <c r="C33" s="333"/>
      <c r="D33" s="333"/>
      <c r="E33" s="332"/>
      <c r="F33" s="332"/>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189" customWidth="1"/>
    <col min="2" max="6" width="18.7109375" style="223" customWidth="1"/>
    <col min="7" max="16384" width="15.7109375" style="189" customWidth="1"/>
  </cols>
  <sheetData>
    <row r="1" spans="1:6" s="181" customFormat="1" ht="30" customHeight="1">
      <c r="A1" s="178" t="s">
        <v>0</v>
      </c>
      <c r="B1" s="179"/>
      <c r="C1" s="179"/>
      <c r="D1" s="179"/>
      <c r="E1" s="179"/>
      <c r="F1" s="180"/>
    </row>
    <row r="2" spans="1:6" s="185" customFormat="1" ht="15" customHeight="1">
      <c r="A2" s="182"/>
      <c r="B2" s="183"/>
      <c r="C2" s="183"/>
      <c r="D2" s="183"/>
      <c r="E2" s="183"/>
      <c r="F2" s="184"/>
    </row>
    <row r="3" spans="1:6" ht="15" customHeight="1">
      <c r="A3" s="186" t="s">
        <v>149</v>
      </c>
      <c r="B3" s="187"/>
      <c r="C3" s="187"/>
      <c r="D3" s="187"/>
      <c r="E3" s="187"/>
      <c r="F3" s="188"/>
    </row>
    <row r="4" spans="1:6" ht="15" customHeight="1">
      <c r="A4" s="186" t="s">
        <v>193</v>
      </c>
      <c r="B4" s="187"/>
      <c r="C4" s="187"/>
      <c r="D4" s="187"/>
      <c r="E4" s="187"/>
      <c r="F4" s="188"/>
    </row>
    <row r="5" spans="1:6" s="7" customFormat="1" ht="15" customHeight="1">
      <c r="A5" s="190"/>
      <c r="B5" s="191"/>
      <c r="C5" s="191"/>
      <c r="D5" s="191"/>
      <c r="E5" s="191"/>
      <c r="F5" s="191"/>
    </row>
    <row r="6" spans="2:6" s="7" customFormat="1" ht="30" customHeight="1">
      <c r="B6" s="192" t="s">
        <v>1</v>
      </c>
      <c r="C6" s="192" t="s">
        <v>2</v>
      </c>
      <c r="D6" s="192" t="s">
        <v>3</v>
      </c>
      <c r="E6" s="192" t="s">
        <v>4</v>
      </c>
      <c r="F6" s="193" t="s">
        <v>5</v>
      </c>
    </row>
    <row r="7" spans="1:6" s="7" customFormat="1" ht="15" customHeight="1">
      <c r="A7" s="194" t="s">
        <v>150</v>
      </c>
      <c r="B7" s="191"/>
      <c r="C7" s="191"/>
      <c r="D7" s="191"/>
      <c r="E7" s="191"/>
      <c r="F7" s="191"/>
    </row>
    <row r="8" spans="1:6" s="7" customFormat="1" ht="15" customHeight="1">
      <c r="A8" s="196" t="s">
        <v>151</v>
      </c>
      <c r="B8" s="197"/>
      <c r="C8" s="197"/>
      <c r="D8" s="197"/>
      <c r="E8" s="197"/>
      <c r="F8" s="197"/>
    </row>
    <row r="9" spans="1:6" s="195" customFormat="1" ht="15" customHeight="1">
      <c r="A9" s="198" t="s">
        <v>152</v>
      </c>
      <c r="B9" s="199">
        <f>-'[1]4Q12 Trial Balance'!E205</f>
        <v>8387272</v>
      </c>
      <c r="C9" s="199">
        <f>-'[1]4Q12 Trial Balance'!E201</f>
        <v>-87176</v>
      </c>
      <c r="D9" s="199">
        <f>-'[1]4Q12 Trial Balance'!E198</f>
        <v>-628</v>
      </c>
      <c r="E9" s="200">
        <v>0</v>
      </c>
      <c r="F9" s="199">
        <f>SUM(B9:E9)</f>
        <v>8299468</v>
      </c>
    </row>
    <row r="10" spans="1:6" s="7" customFormat="1" ht="15" customHeight="1">
      <c r="A10" s="198" t="s">
        <v>153</v>
      </c>
      <c r="B10" s="201">
        <f>-'[1]4Q12 Trial Balance'!E206</f>
        <v>2722297</v>
      </c>
      <c r="C10" s="202">
        <f>-'[1]4Q12 Trial Balance'!E202</f>
        <v>-24628</v>
      </c>
      <c r="D10" s="202">
        <f>-'[1]4Q12 Trial Balance'!E199</f>
        <v>-217</v>
      </c>
      <c r="E10" s="200">
        <v>0</v>
      </c>
      <c r="F10" s="24">
        <f>SUM(B10:E10)</f>
        <v>2697452</v>
      </c>
    </row>
    <row r="11" spans="1:6" s="7" customFormat="1" ht="15" customHeight="1">
      <c r="A11" s="198" t="s">
        <v>154</v>
      </c>
      <c r="B11" s="201">
        <f>-'[1]4Q12 Trial Balance'!E207</f>
        <v>31239</v>
      </c>
      <c r="C11" s="202">
        <f>-'[1]4Q12 Trial Balance'!E203</f>
        <v>-1234</v>
      </c>
      <c r="D11" s="200">
        <v>0</v>
      </c>
      <c r="E11" s="200">
        <v>0</v>
      </c>
      <c r="F11" s="24">
        <f>SUM(B11:E11)</f>
        <v>30005</v>
      </c>
    </row>
    <row r="12" spans="1:6" s="29" customFormat="1" ht="15" customHeight="1" thickBot="1">
      <c r="A12" s="203" t="s">
        <v>155</v>
      </c>
      <c r="B12" s="204">
        <f>SUM(B9:B11)</f>
        <v>11140808</v>
      </c>
      <c r="C12" s="205">
        <f>SUM(C9:C11)</f>
        <v>-113038</v>
      </c>
      <c r="D12" s="205">
        <f>SUM(D9:D11)</f>
        <v>-845</v>
      </c>
      <c r="E12" s="206">
        <f>SUM(E9:E11)</f>
        <v>0</v>
      </c>
      <c r="F12" s="207">
        <f>SUM(F9:F11)</f>
        <v>11026925</v>
      </c>
    </row>
    <row r="13" spans="1:6" s="29" customFormat="1" ht="15" customHeight="1" thickTop="1">
      <c r="A13" s="198"/>
      <c r="B13" s="208"/>
      <c r="C13" s="208"/>
      <c r="D13" s="208"/>
      <c r="E13" s="208"/>
      <c r="F13" s="209"/>
    </row>
    <row r="14" spans="1:6" s="29" customFormat="1" ht="30" customHeight="1">
      <c r="A14" s="196" t="s">
        <v>195</v>
      </c>
      <c r="B14" s="208"/>
      <c r="C14" s="208"/>
      <c r="D14" s="208"/>
      <c r="E14" s="208"/>
      <c r="F14" s="208"/>
    </row>
    <row r="15" spans="1:6" s="29" customFormat="1" ht="15" customHeight="1">
      <c r="A15" s="198" t="s">
        <v>152</v>
      </c>
      <c r="B15" s="208">
        <f>-'[1]4Q12 Trial Balance'!E68</f>
        <v>4155835.06</v>
      </c>
      <c r="C15" s="304">
        <v>0</v>
      </c>
      <c r="D15" s="304">
        <v>0</v>
      </c>
      <c r="E15" s="304">
        <v>0</v>
      </c>
      <c r="F15" s="24">
        <f>SUM(B15:E15)</f>
        <v>4155835.06</v>
      </c>
    </row>
    <row r="16" spans="1:6" s="29" customFormat="1" ht="15" customHeight="1">
      <c r="A16" s="198" t="s">
        <v>156</v>
      </c>
      <c r="B16" s="208">
        <f>-'[1]4Q12 Trial Balance'!E69</f>
        <v>1382422.14</v>
      </c>
      <c r="C16" s="304">
        <v>0</v>
      </c>
      <c r="D16" s="304">
        <v>0</v>
      </c>
      <c r="E16" s="304">
        <v>0</v>
      </c>
      <c r="F16" s="24">
        <f>SUM(B16:E16)</f>
        <v>1382422.14</v>
      </c>
    </row>
    <row r="17" spans="1:6" s="29" customFormat="1" ht="15" customHeight="1">
      <c r="A17" s="198" t="s">
        <v>157</v>
      </c>
      <c r="B17" s="201">
        <f>-'[1]4Q12 Trial Balance'!E70</f>
        <v>15856.23</v>
      </c>
      <c r="C17" s="304">
        <v>0</v>
      </c>
      <c r="D17" s="304">
        <v>0</v>
      </c>
      <c r="E17" s="304">
        <v>0</v>
      </c>
      <c r="F17" s="210">
        <f>SUM(B17:E17)</f>
        <v>15856.23</v>
      </c>
    </row>
    <row r="18" spans="1:6" s="29" customFormat="1" ht="15" customHeight="1" thickBot="1">
      <c r="A18" s="203" t="s">
        <v>155</v>
      </c>
      <c r="B18" s="204">
        <f>SUM(B15:B17)</f>
        <v>5554113.430000001</v>
      </c>
      <c r="C18" s="34">
        <f>SUM(C15:C17)</f>
        <v>0</v>
      </c>
      <c r="D18" s="34">
        <f>SUM(D15:D17)</f>
        <v>0</v>
      </c>
      <c r="E18" s="34">
        <f>SUM(E15:E17)</f>
        <v>0</v>
      </c>
      <c r="F18" s="207">
        <f>SUM(F15:F17)</f>
        <v>5554113.430000001</v>
      </c>
    </row>
    <row r="19" spans="1:6" s="29" customFormat="1" ht="15" customHeight="1" thickTop="1">
      <c r="A19" s="198"/>
      <c r="B19" s="208"/>
      <c r="C19" s="208"/>
      <c r="D19" s="208"/>
      <c r="E19" s="208"/>
      <c r="F19" s="209"/>
    </row>
    <row r="20" spans="1:6" s="29" customFormat="1" ht="30" customHeight="1">
      <c r="A20" s="196" t="s">
        <v>160</v>
      </c>
      <c r="B20" s="211"/>
      <c r="C20" s="211"/>
      <c r="D20" s="211"/>
      <c r="E20" s="211"/>
      <c r="F20" s="208"/>
    </row>
    <row r="21" spans="1:6" s="29" customFormat="1" ht="15" customHeight="1">
      <c r="A21" s="198" t="s">
        <v>152</v>
      </c>
      <c r="B21" s="212">
        <v>0</v>
      </c>
      <c r="C21" s="208">
        <v>4409603.15</v>
      </c>
      <c r="D21" s="212">
        <v>0</v>
      </c>
      <c r="E21" s="212">
        <v>0</v>
      </c>
      <c r="F21" s="24">
        <f>SUM(B21:E21)</f>
        <v>4409603.15</v>
      </c>
    </row>
    <row r="22" spans="1:6" s="29" customFormat="1" ht="15" customHeight="1">
      <c r="A22" s="198" t="s">
        <v>153</v>
      </c>
      <c r="B22" s="212">
        <v>0</v>
      </c>
      <c r="C22" s="208">
        <v>1292283.18</v>
      </c>
      <c r="D22" s="212">
        <v>0</v>
      </c>
      <c r="E22" s="212">
        <v>0</v>
      </c>
      <c r="F22" s="24">
        <f>SUM(B22:E22)</f>
        <v>1292283.18</v>
      </c>
    </row>
    <row r="23" spans="1:6" s="29" customFormat="1" ht="15" customHeight="1">
      <c r="A23" s="198" t="s">
        <v>154</v>
      </c>
      <c r="B23" s="212">
        <v>0</v>
      </c>
      <c r="C23" s="201">
        <v>16352.51</v>
      </c>
      <c r="D23" s="212">
        <v>0</v>
      </c>
      <c r="E23" s="212">
        <v>0</v>
      </c>
      <c r="F23" s="210">
        <f>SUM(B23:E23)</f>
        <v>16352.51</v>
      </c>
    </row>
    <row r="24" spans="1:6" s="29" customFormat="1" ht="15" customHeight="1" thickBot="1">
      <c r="A24" s="203" t="s">
        <v>155</v>
      </c>
      <c r="B24" s="213">
        <f>SUM(B21:B23)</f>
        <v>0</v>
      </c>
      <c r="C24" s="204">
        <f>SUM(C21:C23)</f>
        <v>5718238.84</v>
      </c>
      <c r="D24" s="213">
        <f>SUM(D21:D23)</f>
        <v>0</v>
      </c>
      <c r="E24" s="213">
        <f>SUM(E21:E23)</f>
        <v>0</v>
      </c>
      <c r="F24" s="207">
        <f>SUM(F21:F23)</f>
        <v>5718238.84</v>
      </c>
    </row>
    <row r="25" spans="1:6" s="217" customFormat="1" ht="15" customHeight="1" thickTop="1">
      <c r="A25" s="215"/>
      <c r="B25" s="208"/>
      <c r="C25" s="208"/>
      <c r="D25" s="208"/>
      <c r="E25" s="224"/>
      <c r="F25" s="216"/>
    </row>
    <row r="26" spans="1:6" s="29" customFormat="1" ht="15" customHeight="1">
      <c r="A26" s="196" t="s">
        <v>158</v>
      </c>
      <c r="B26" s="208"/>
      <c r="C26" s="208"/>
      <c r="D26" s="208"/>
      <c r="E26" s="208"/>
      <c r="F26" s="208"/>
    </row>
    <row r="27" spans="1:6" s="29" customFormat="1" ht="15" customHeight="1">
      <c r="A27" s="198" t="s">
        <v>152</v>
      </c>
      <c r="B27" s="218">
        <f aca="true" t="shared" si="0" ref="B27:E29">B9-(B15-B21)</f>
        <v>4231436.9399999995</v>
      </c>
      <c r="C27" s="218">
        <f t="shared" si="0"/>
        <v>4322427.15</v>
      </c>
      <c r="D27" s="218">
        <f t="shared" si="0"/>
        <v>-628</v>
      </c>
      <c r="E27" s="212">
        <f t="shared" si="0"/>
        <v>0</v>
      </c>
      <c r="F27" s="24">
        <f>SUM(B27:E27)</f>
        <v>8553236.09</v>
      </c>
    </row>
    <row r="28" spans="1:6" s="29" customFormat="1" ht="15" customHeight="1">
      <c r="A28" s="198" t="s">
        <v>153</v>
      </c>
      <c r="B28" s="218">
        <f t="shared" si="0"/>
        <v>1339874.86</v>
      </c>
      <c r="C28" s="218">
        <f t="shared" si="0"/>
        <v>1267655.18</v>
      </c>
      <c r="D28" s="218">
        <f t="shared" si="0"/>
        <v>-217</v>
      </c>
      <c r="E28" s="212">
        <f t="shared" si="0"/>
        <v>0</v>
      </c>
      <c r="F28" s="24">
        <f>SUM(B28:E28)</f>
        <v>2607313.04</v>
      </c>
    </row>
    <row r="29" spans="1:6" s="29" customFormat="1" ht="15" customHeight="1">
      <c r="A29" s="219" t="s">
        <v>154</v>
      </c>
      <c r="B29" s="225">
        <f t="shared" si="0"/>
        <v>15382.77</v>
      </c>
      <c r="C29" s="225">
        <f t="shared" si="0"/>
        <v>15118.51</v>
      </c>
      <c r="D29" s="212">
        <f t="shared" si="0"/>
        <v>0</v>
      </c>
      <c r="E29" s="212">
        <f t="shared" si="0"/>
        <v>0</v>
      </c>
      <c r="F29" s="24">
        <f>SUM(B29:E29)+1</f>
        <v>30502.28</v>
      </c>
    </row>
    <row r="30" spans="1:6" s="29" customFormat="1" ht="15" customHeight="1" thickBot="1">
      <c r="A30" s="203" t="s">
        <v>155</v>
      </c>
      <c r="B30" s="221">
        <f>SUM(B27:B29)</f>
        <v>5586694.569999999</v>
      </c>
      <c r="C30" s="221">
        <f>SUM(C27:C29)</f>
        <v>5605200.84</v>
      </c>
      <c r="D30" s="221">
        <f>SUM(D27:D29)</f>
        <v>-845</v>
      </c>
      <c r="E30" s="222">
        <f>SUM(E27:E29)</f>
        <v>0</v>
      </c>
      <c r="F30" s="221">
        <f>SUM(F27:F29)</f>
        <v>11191051.409999998</v>
      </c>
    </row>
    <row r="31" spans="1:6" s="29" customFormat="1" ht="15" customHeight="1" thickTop="1">
      <c r="A31" s="203"/>
      <c r="B31" s="23"/>
      <c r="C31" s="23"/>
      <c r="D31" s="23"/>
      <c r="E31" s="226"/>
      <c r="F31" s="23"/>
    </row>
    <row r="32" spans="1:6" s="227" customFormat="1" ht="19.5" customHeight="1">
      <c r="A32" s="334" t="s">
        <v>197</v>
      </c>
      <c r="B32" s="334"/>
      <c r="C32" s="334"/>
      <c r="D32" s="334"/>
      <c r="E32" s="334"/>
      <c r="F32" s="334"/>
    </row>
    <row r="33" spans="1:6" s="227" customFormat="1" ht="19.5" customHeight="1">
      <c r="A33" s="334"/>
      <c r="B33" s="334"/>
      <c r="C33" s="334"/>
      <c r="D33" s="334"/>
      <c r="E33" s="334"/>
      <c r="F33" s="334"/>
    </row>
    <row r="34" spans="1:6" s="227" customFormat="1" ht="19.5" customHeight="1">
      <c r="A34" s="334"/>
      <c r="B34" s="334"/>
      <c r="C34" s="334"/>
      <c r="D34" s="334"/>
      <c r="E34" s="334"/>
      <c r="F34" s="334"/>
    </row>
    <row r="35" spans="1:6" s="227" customFormat="1" ht="15" customHeight="1">
      <c r="A35" s="228"/>
      <c r="B35" s="335" t="s">
        <v>161</v>
      </c>
      <c r="C35" s="229"/>
      <c r="D35" s="230"/>
      <c r="E35" s="335" t="s">
        <v>161</v>
      </c>
      <c r="F35" s="229"/>
    </row>
    <row r="36" spans="1:6" s="227" customFormat="1" ht="15" customHeight="1">
      <c r="A36" s="231" t="s">
        <v>162</v>
      </c>
      <c r="B36" s="335"/>
      <c r="C36" s="232" t="s">
        <v>163</v>
      </c>
      <c r="D36" s="229" t="s">
        <v>162</v>
      </c>
      <c r="E36" s="335"/>
      <c r="F36" s="232" t="s">
        <v>163</v>
      </c>
    </row>
    <row r="37" spans="1:6" ht="15" customHeight="1">
      <c r="A37" s="233" t="s">
        <v>164</v>
      </c>
      <c r="B37" s="234">
        <v>886780.3900000001</v>
      </c>
      <c r="C37" s="234">
        <v>1058741.1900000002</v>
      </c>
      <c r="D37" s="235" t="s">
        <v>165</v>
      </c>
      <c r="E37" s="234">
        <v>848111</v>
      </c>
      <c r="F37" s="234">
        <f>147363+848111</f>
        <v>995474</v>
      </c>
    </row>
    <row r="38" spans="1:7" ht="15" customHeight="1">
      <c r="A38" s="233" t="s">
        <v>166</v>
      </c>
      <c r="B38" s="234">
        <v>874116.0599999998</v>
      </c>
      <c r="C38" s="234">
        <v>1038434.0599999998</v>
      </c>
      <c r="D38" s="235" t="s">
        <v>167</v>
      </c>
      <c r="E38" s="234">
        <v>845292.1799999999</v>
      </c>
      <c r="F38" s="234">
        <f>144440+845292</f>
        <v>989732</v>
      </c>
      <c r="G38" s="236"/>
    </row>
    <row r="39" spans="1:7" ht="15" customHeight="1">
      <c r="A39" s="233" t="s">
        <v>168</v>
      </c>
      <c r="B39" s="234">
        <v>880516.9400000002</v>
      </c>
      <c r="C39" s="234">
        <v>1042773.7200000002</v>
      </c>
      <c r="D39" s="235" t="s">
        <v>210</v>
      </c>
      <c r="E39" s="234">
        <v>845365.97</v>
      </c>
      <c r="F39" s="234">
        <f>845366+141933</f>
        <v>987299</v>
      </c>
      <c r="G39" s="236"/>
    </row>
    <row r="40" spans="1:7" ht="15" customHeight="1">
      <c r="A40" s="233" t="s">
        <v>169</v>
      </c>
      <c r="B40" s="234">
        <v>890055.97</v>
      </c>
      <c r="C40" s="234">
        <v>1045468.4099999999</v>
      </c>
      <c r="D40" s="235" t="s">
        <v>211</v>
      </c>
      <c r="E40" s="234">
        <v>841685.1700000002</v>
      </c>
      <c r="F40" s="234">
        <f>141618+841685</f>
        <v>983303</v>
      </c>
      <c r="G40" s="236"/>
    </row>
    <row r="41" spans="1:6" s="228" customFormat="1" ht="15" customHeight="1">
      <c r="A41" s="237"/>
      <c r="B41" s="238"/>
      <c r="C41" s="238"/>
      <c r="D41" s="238"/>
      <c r="E41" s="237"/>
      <c r="F41" s="239"/>
    </row>
    <row r="42" spans="1:6" s="228" customFormat="1" ht="15" customHeight="1">
      <c r="A42" s="334" t="s">
        <v>170</v>
      </c>
      <c r="B42" s="334"/>
      <c r="C42" s="334"/>
      <c r="D42" s="334"/>
      <c r="E42" s="334"/>
      <c r="F42" s="334"/>
    </row>
    <row r="43" spans="1:6" s="228" customFormat="1" ht="15" customHeight="1">
      <c r="A43" s="334"/>
      <c r="B43" s="334"/>
      <c r="C43" s="334"/>
      <c r="D43" s="334"/>
      <c r="E43" s="334"/>
      <c r="F43" s="334"/>
    </row>
    <row r="44" spans="1:6" s="228" customFormat="1" ht="15" customHeight="1">
      <c r="A44" s="237"/>
      <c r="B44" s="238"/>
      <c r="C44" s="238"/>
      <c r="D44" s="238"/>
      <c r="E44" s="237"/>
      <c r="F44" s="239"/>
    </row>
    <row r="45" spans="1:6" s="228" customFormat="1" ht="15" customHeight="1">
      <c r="A45" s="237"/>
      <c r="B45" s="238"/>
      <c r="C45" s="238"/>
      <c r="D45" s="238"/>
      <c r="E45" s="237"/>
      <c r="F45" s="239"/>
    </row>
    <row r="46" spans="1:6" s="228" customFormat="1" ht="15" customHeight="1">
      <c r="A46" s="237"/>
      <c r="B46" s="238"/>
      <c r="C46" s="238"/>
      <c r="D46" s="238"/>
      <c r="E46" s="237"/>
      <c r="F46" s="239"/>
    </row>
    <row r="47" spans="1:6" s="228" customFormat="1" ht="15" customHeight="1">
      <c r="A47" s="237"/>
      <c r="B47" s="238"/>
      <c r="C47" s="238"/>
      <c r="D47" s="238"/>
      <c r="E47" s="237"/>
      <c r="F47" s="239"/>
    </row>
    <row r="48" spans="1:6" s="228" customFormat="1" ht="15" customHeight="1">
      <c r="A48" s="237"/>
      <c r="B48" s="238"/>
      <c r="C48" s="238"/>
      <c r="D48" s="238"/>
      <c r="E48" s="237"/>
      <c r="F48" s="239"/>
    </row>
    <row r="49" spans="1:6" s="228" customFormat="1" ht="15" customHeight="1">
      <c r="A49" s="237"/>
      <c r="B49" s="238"/>
      <c r="C49" s="238"/>
      <c r="D49" s="238"/>
      <c r="E49" s="237"/>
      <c r="F49" s="239"/>
    </row>
    <row r="50" spans="1:6" s="228" customFormat="1" ht="15" customHeight="1">
      <c r="A50" s="237"/>
      <c r="B50" s="238"/>
      <c r="C50" s="238"/>
      <c r="D50" s="238"/>
      <c r="E50" s="237"/>
      <c r="F50" s="239"/>
    </row>
    <row r="51" spans="1:6" s="228" customFormat="1" ht="15" customHeight="1">
      <c r="A51" s="237"/>
      <c r="B51" s="238"/>
      <c r="C51" s="238"/>
      <c r="D51" s="238"/>
      <c r="E51" s="237"/>
      <c r="F51" s="239"/>
    </row>
    <row r="52" spans="1:6" s="228" customFormat="1" ht="15" customHeight="1">
      <c r="A52" s="237"/>
      <c r="B52" s="238"/>
      <c r="C52" s="238"/>
      <c r="D52" s="238"/>
      <c r="E52" s="237"/>
      <c r="F52" s="239"/>
    </row>
    <row r="53" spans="1:6" s="228" customFormat="1" ht="15" customHeight="1">
      <c r="A53" s="237"/>
      <c r="B53" s="238"/>
      <c r="C53" s="238"/>
      <c r="D53" s="238"/>
      <c r="E53" s="237"/>
      <c r="F53" s="239"/>
    </row>
    <row r="54" spans="1:6" s="228" customFormat="1" ht="15" customHeight="1">
      <c r="A54" s="237"/>
      <c r="B54" s="238"/>
      <c r="C54" s="238"/>
      <c r="D54" s="238"/>
      <c r="E54" s="237"/>
      <c r="F54" s="239"/>
    </row>
    <row r="55" spans="1:6" s="228" customFormat="1" ht="15" customHeight="1">
      <c r="A55" s="237"/>
      <c r="B55" s="238"/>
      <c r="C55" s="238"/>
      <c r="D55" s="238"/>
      <c r="E55" s="237"/>
      <c r="F55" s="239"/>
    </row>
    <row r="56" spans="1:6" s="228" customFormat="1" ht="15" customHeight="1">
      <c r="A56" s="237"/>
      <c r="B56" s="238"/>
      <c r="C56" s="238"/>
      <c r="D56" s="238"/>
      <c r="E56" s="237"/>
      <c r="F56" s="239"/>
    </row>
    <row r="57" spans="1:6" s="228" customFormat="1" ht="15" customHeight="1">
      <c r="A57" s="237"/>
      <c r="B57" s="238"/>
      <c r="C57" s="238"/>
      <c r="D57" s="238"/>
      <c r="E57" s="237"/>
      <c r="F57" s="239"/>
    </row>
    <row r="58" spans="1:6" s="228" customFormat="1" ht="15" customHeight="1">
      <c r="A58" s="237"/>
      <c r="B58" s="238"/>
      <c r="C58" s="238"/>
      <c r="D58" s="238"/>
      <c r="E58" s="237"/>
      <c r="F58" s="239"/>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47" customWidth="1"/>
    <col min="2" max="4" width="16.7109375" style="269" customWidth="1"/>
    <col min="5" max="6" width="16.7109375" style="263" customWidth="1"/>
    <col min="7" max="16384" width="15.7109375" style="168" customWidth="1"/>
  </cols>
  <sheetData>
    <row r="1" spans="1:6" s="240" customFormat="1" ht="24.75" customHeight="1">
      <c r="A1" s="336" t="s">
        <v>0</v>
      </c>
      <c r="B1" s="336"/>
      <c r="C1" s="336"/>
      <c r="D1" s="336"/>
      <c r="E1" s="336"/>
      <c r="F1" s="336"/>
    </row>
    <row r="2" spans="1:6" s="243" customFormat="1" ht="15" customHeight="1">
      <c r="A2" s="241"/>
      <c r="B2" s="242"/>
      <c r="C2" s="242"/>
      <c r="D2" s="242"/>
      <c r="E2" s="242"/>
      <c r="F2" s="242"/>
    </row>
    <row r="3" spans="1:6" s="244" customFormat="1" ht="15" customHeight="1">
      <c r="A3" s="337" t="s">
        <v>171</v>
      </c>
      <c r="B3" s="337"/>
      <c r="C3" s="337"/>
      <c r="D3" s="337"/>
      <c r="E3" s="337"/>
      <c r="F3" s="337"/>
    </row>
    <row r="4" spans="1:6" s="244" customFormat="1" ht="15" customHeight="1">
      <c r="A4" s="337" t="s">
        <v>190</v>
      </c>
      <c r="B4" s="337"/>
      <c r="C4" s="337"/>
      <c r="D4" s="337"/>
      <c r="E4" s="337"/>
      <c r="F4" s="337"/>
    </row>
    <row r="5" spans="1:6" s="246" customFormat="1" ht="15" customHeight="1">
      <c r="A5" s="241"/>
      <c r="B5" s="245"/>
      <c r="C5" s="245"/>
      <c r="D5" s="245"/>
      <c r="E5" s="242"/>
      <c r="F5" s="242"/>
    </row>
    <row r="6" spans="2:6" ht="30" customHeight="1">
      <c r="B6" s="192" t="s">
        <v>1</v>
      </c>
      <c r="C6" s="192" t="s">
        <v>2</v>
      </c>
      <c r="D6" s="192" t="s">
        <v>3</v>
      </c>
      <c r="E6" s="192" t="s">
        <v>4</v>
      </c>
      <c r="F6" s="192" t="s">
        <v>5</v>
      </c>
    </row>
    <row r="7" spans="1:6" ht="15" customHeight="1">
      <c r="A7" s="248" t="s">
        <v>172</v>
      </c>
      <c r="B7" s="249"/>
      <c r="C7" s="249"/>
      <c r="D7" s="249"/>
      <c r="E7" s="249"/>
      <c r="F7" s="249"/>
    </row>
    <row r="8" spans="1:6" ht="15" customHeight="1">
      <c r="A8" s="248" t="s">
        <v>173</v>
      </c>
      <c r="B8" s="250"/>
      <c r="C8" s="250"/>
      <c r="D8" s="250"/>
      <c r="E8" s="250"/>
      <c r="F8" s="250"/>
    </row>
    <row r="9" spans="1:6" ht="15" customHeight="1">
      <c r="A9" s="251" t="s">
        <v>174</v>
      </c>
      <c r="B9" s="199">
        <f>'[2]Loss Expenses Paid QTD-15'!E21</f>
        <v>611336.93</v>
      </c>
      <c r="C9" s="199">
        <f>'[2]Loss Expenses Paid QTD-15'!E15</f>
        <v>381347.15</v>
      </c>
      <c r="D9" s="199">
        <f>'[1]4Q12 Trial Balance'!$C$275</f>
        <v>-1089.03</v>
      </c>
      <c r="E9" s="212">
        <v>0</v>
      </c>
      <c r="F9" s="199">
        <f>SUM(B9:E9)</f>
        <v>991595.05</v>
      </c>
    </row>
    <row r="10" spans="1:6" ht="15" customHeight="1">
      <c r="A10" s="251" t="s">
        <v>153</v>
      </c>
      <c r="B10" s="201">
        <f>'[2]Loss Expenses Paid QTD-15'!E22</f>
        <v>1672487.63</v>
      </c>
      <c r="C10" s="201">
        <f>'[2]Loss Expenses Paid QTD-15'!E16+'[1]4Q12 Trial Balance'!C278</f>
        <v>312856.37</v>
      </c>
      <c r="D10" s="202">
        <f>'[2]Loss Expenses Paid QTD-15'!E10</f>
        <v>1910.91</v>
      </c>
      <c r="E10" s="212">
        <v>0</v>
      </c>
      <c r="F10" s="201">
        <f>SUM(B10:E10)</f>
        <v>1987254.91</v>
      </c>
    </row>
    <row r="11" spans="1:6" ht="15" customHeight="1">
      <c r="A11" s="251" t="s">
        <v>154</v>
      </c>
      <c r="B11" s="212">
        <f>'[2]Loss Expenses Paid QTD-15'!E23</f>
        <v>0</v>
      </c>
      <c r="C11" s="212">
        <f>'[2]Loss Expenses Paid QTD-15'!E17</f>
        <v>0</v>
      </c>
      <c r="D11" s="212">
        <f>'[2]Loss Expenses Paid QTD-15'!E11</f>
        <v>0</v>
      </c>
      <c r="E11" s="212">
        <v>0</v>
      </c>
      <c r="F11" s="212">
        <f>SUM(B11:E11)</f>
        <v>0</v>
      </c>
    </row>
    <row r="12" spans="1:6" ht="15" customHeight="1" thickBot="1">
      <c r="A12" s="252" t="s">
        <v>155</v>
      </c>
      <c r="B12" s="113">
        <f>SUM(B9:B11)</f>
        <v>2283824.56</v>
      </c>
      <c r="C12" s="113">
        <f>SUM(C9:C11)-1</f>
        <v>694202.52</v>
      </c>
      <c r="D12" s="253">
        <f>SUM(D9:D11)</f>
        <v>821.8800000000001</v>
      </c>
      <c r="E12" s="213">
        <f>SUM(E9:E11)</f>
        <v>0</v>
      </c>
      <c r="F12" s="254">
        <f>SUM(F9:F11)</f>
        <v>2978849.96</v>
      </c>
    </row>
    <row r="13" spans="1:6" ht="15" customHeight="1" thickTop="1">
      <c r="A13" s="248"/>
      <c r="B13" s="255"/>
      <c r="C13" s="255"/>
      <c r="D13" s="255"/>
      <c r="E13" s="201"/>
      <c r="F13" s="201"/>
    </row>
    <row r="14" spans="1:6" ht="15" customHeight="1">
      <c r="A14" s="248" t="s">
        <v>198</v>
      </c>
      <c r="B14" s="255"/>
      <c r="C14" s="255"/>
      <c r="D14" s="255"/>
      <c r="E14" s="201"/>
      <c r="F14" s="201"/>
    </row>
    <row r="15" spans="1:6" ht="15" customHeight="1">
      <c r="A15" s="251" t="s">
        <v>175</v>
      </c>
      <c r="B15" s="201">
        <f>'[2]Unpaid Loss Reserves-13'!B9</f>
        <v>1451409.47</v>
      </c>
      <c r="C15" s="201">
        <f>'[2]Unpaid Loss Reserves-13'!C9</f>
        <v>337926.74</v>
      </c>
      <c r="D15" s="201">
        <f>'[2]Unpaid Loss Reserves-13'!D9</f>
        <v>52262.79</v>
      </c>
      <c r="E15" s="212">
        <v>0</v>
      </c>
      <c r="F15" s="201">
        <f>SUM(B15:E15)</f>
        <v>1841599</v>
      </c>
    </row>
    <row r="16" spans="1:6" ht="15" customHeight="1">
      <c r="A16" s="251" t="s">
        <v>176</v>
      </c>
      <c r="B16" s="201">
        <f>'[2]Unpaid Loss Reserves-13'!B10</f>
        <v>5805124.98</v>
      </c>
      <c r="C16" s="201">
        <f>'[2]Unpaid Loss Reserves-13'!C10</f>
        <v>1072160.33</v>
      </c>
      <c r="D16" s="212">
        <f>'[2]Unpaid Loss Reserves-13'!D10</f>
        <v>0</v>
      </c>
      <c r="E16" s="212">
        <v>0</v>
      </c>
      <c r="F16" s="201">
        <f>SUM(B16:E16)</f>
        <v>6877285.3100000005</v>
      </c>
    </row>
    <row r="17" spans="1:6" ht="15" customHeight="1">
      <c r="A17" s="251" t="s">
        <v>177</v>
      </c>
      <c r="B17" s="212">
        <f>'[2]Unpaid Loss Reserves-13'!B11</f>
        <v>0</v>
      </c>
      <c r="C17" s="212">
        <f>'[2]Unpaid Loss Reserves-13'!C11</f>
        <v>0</v>
      </c>
      <c r="D17" s="212">
        <f>'[2]Unpaid Loss Reserves-13'!D11</f>
        <v>0</v>
      </c>
      <c r="E17" s="212">
        <v>0</v>
      </c>
      <c r="F17" s="212">
        <f>SUM(B17:E17)</f>
        <v>0</v>
      </c>
    </row>
    <row r="18" spans="1:6" ht="15" customHeight="1" thickBot="1">
      <c r="A18" s="252" t="s">
        <v>155</v>
      </c>
      <c r="B18" s="113">
        <f>SUM(B15:B17)</f>
        <v>7256534.45</v>
      </c>
      <c r="C18" s="113">
        <f>SUM(C15:C17)</f>
        <v>1410087.07</v>
      </c>
      <c r="D18" s="113">
        <f>SUM(D15:D17)</f>
        <v>52262.79</v>
      </c>
      <c r="E18" s="213">
        <f>SUM(E15:E17)</f>
        <v>0</v>
      </c>
      <c r="F18" s="222">
        <f>SUM(F15:F17)</f>
        <v>8718884.31</v>
      </c>
    </row>
    <row r="19" spans="1:6" ht="15" customHeight="1" thickTop="1">
      <c r="A19" s="248"/>
      <c r="B19" s="100"/>
      <c r="C19" s="100"/>
      <c r="D19" s="100"/>
      <c r="E19" s="256"/>
      <c r="F19" s="256"/>
    </row>
    <row r="20" spans="1:6" ht="15" customHeight="1">
      <c r="A20" s="248" t="s">
        <v>199</v>
      </c>
      <c r="B20" s="257"/>
      <c r="C20" s="257"/>
      <c r="D20" s="257"/>
      <c r="E20" s="257"/>
      <c r="F20" s="257"/>
    </row>
    <row r="21" spans="1:6" ht="15" customHeight="1">
      <c r="A21" s="251" t="s">
        <v>175</v>
      </c>
      <c r="B21" s="201">
        <f>'[2]Unpaid Loss Reserves-13'!B16</f>
        <v>87634</v>
      </c>
      <c r="C21" s="201">
        <f>'[2]Unpaid Loss Reserves-13'!C16</f>
        <v>22058.06</v>
      </c>
      <c r="D21" s="212">
        <f>'[2]Unpaid Loss Reserves-13'!D16</f>
        <v>0</v>
      </c>
      <c r="E21" s="212">
        <v>0</v>
      </c>
      <c r="F21" s="201">
        <f>SUM(B21:E21)</f>
        <v>109692.06</v>
      </c>
    </row>
    <row r="22" spans="1:6" ht="15" customHeight="1">
      <c r="A22" s="251" t="s">
        <v>176</v>
      </c>
      <c r="B22" s="201">
        <f>'[2]Unpaid Loss Reserves-13'!B17</f>
        <v>350505</v>
      </c>
      <c r="C22" s="201">
        <f>'[2]Unpaid Loss Reserves-13'!C17</f>
        <v>69984.94</v>
      </c>
      <c r="D22" s="212">
        <f>'[2]Unpaid Loss Reserves-13'!D17</f>
        <v>0</v>
      </c>
      <c r="E22" s="212">
        <v>0</v>
      </c>
      <c r="F22" s="201">
        <f>SUM(B22:E22)</f>
        <v>420489.94</v>
      </c>
    </row>
    <row r="23" spans="1:6" ht="15" customHeight="1">
      <c r="A23" s="251" t="s">
        <v>177</v>
      </c>
      <c r="B23" s="212">
        <f>'[2]Unpaid Loss Reserves-13'!B18</f>
        <v>0</v>
      </c>
      <c r="C23" s="212">
        <f>'[2]Unpaid Loss Reserves-13'!C18</f>
        <v>0</v>
      </c>
      <c r="D23" s="212">
        <f>'[2]Unpaid Loss Reserves-13'!D18</f>
        <v>0</v>
      </c>
      <c r="E23" s="212">
        <v>0</v>
      </c>
      <c r="F23" s="212">
        <f>SUM(B23:E23)</f>
        <v>0</v>
      </c>
    </row>
    <row r="24" spans="1:6" ht="15" customHeight="1" thickBot="1">
      <c r="A24" s="252" t="s">
        <v>155</v>
      </c>
      <c r="B24" s="113">
        <f>SUM(B21:B23)</f>
        <v>438139</v>
      </c>
      <c r="C24" s="113">
        <f>SUM(C21:C23)</f>
        <v>92043</v>
      </c>
      <c r="D24" s="105">
        <f>SUM(D21:D23)</f>
        <v>0</v>
      </c>
      <c r="E24" s="213">
        <f>SUM(E21:E23)</f>
        <v>0</v>
      </c>
      <c r="F24" s="222">
        <f>SUM(F21:F23)</f>
        <v>530182</v>
      </c>
    </row>
    <row r="25" spans="1:6" ht="15" customHeight="1" thickTop="1">
      <c r="A25" s="248"/>
      <c r="B25" s="255"/>
      <c r="C25" s="255"/>
      <c r="D25" s="255"/>
      <c r="E25" s="201"/>
      <c r="F25" s="201"/>
    </row>
    <row r="26" spans="1:6" ht="15" customHeight="1">
      <c r="A26" s="248" t="s">
        <v>200</v>
      </c>
      <c r="B26" s="258"/>
      <c r="C26" s="258"/>
      <c r="D26" s="258"/>
      <c r="E26" s="201"/>
      <c r="F26" s="201"/>
    </row>
    <row r="27" spans="1:6" ht="15" customHeight="1">
      <c r="A27" s="248" t="s">
        <v>178</v>
      </c>
      <c r="B27" s="258"/>
      <c r="C27" s="258"/>
      <c r="D27" s="258"/>
      <c r="E27" s="201"/>
      <c r="F27" s="201"/>
    </row>
    <row r="28" spans="1:6" ht="15" customHeight="1">
      <c r="A28" s="251" t="s">
        <v>175</v>
      </c>
      <c r="B28" s="255">
        <v>497434.49</v>
      </c>
      <c r="C28" s="255">
        <v>885509.35</v>
      </c>
      <c r="D28" s="259">
        <v>52262.79</v>
      </c>
      <c r="E28" s="212">
        <v>0</v>
      </c>
      <c r="F28" s="201">
        <f>SUM(B28:E28)-1</f>
        <v>1435205.63</v>
      </c>
    </row>
    <row r="29" spans="1:6" ht="15" customHeight="1">
      <c r="A29" s="251" t="s">
        <v>176</v>
      </c>
      <c r="B29" s="255">
        <v>183095.88</v>
      </c>
      <c r="C29" s="255">
        <v>182974.86</v>
      </c>
      <c r="D29" s="255">
        <v>2000</v>
      </c>
      <c r="E29" s="212">
        <v>0</v>
      </c>
      <c r="F29" s="201">
        <f>SUM(B29:E29)</f>
        <v>368070.74</v>
      </c>
    </row>
    <row r="30" spans="1:6" ht="15" customHeight="1">
      <c r="A30" s="251" t="s">
        <v>177</v>
      </c>
      <c r="B30" s="212">
        <v>0</v>
      </c>
      <c r="C30" s="303">
        <v>0</v>
      </c>
      <c r="D30" s="212">
        <v>0</v>
      </c>
      <c r="E30" s="212">
        <v>0</v>
      </c>
      <c r="F30" s="212">
        <f>SUM(B30:E30)</f>
        <v>0</v>
      </c>
    </row>
    <row r="31" spans="1:6" ht="15" customHeight="1" thickBot="1">
      <c r="A31" s="252" t="s">
        <v>155</v>
      </c>
      <c r="B31" s="113">
        <f>SUM(B28:B30)</f>
        <v>680530.37</v>
      </c>
      <c r="C31" s="113">
        <f>SUM(C28:C30)</f>
        <v>1068484.21</v>
      </c>
      <c r="D31" s="113">
        <f>SUM(D28:D30)</f>
        <v>54262.79</v>
      </c>
      <c r="E31" s="213">
        <f>SUM(E28:E30)</f>
        <v>0</v>
      </c>
      <c r="F31" s="222">
        <f>SUM(F28:F30)+1</f>
        <v>1803277.3699999999</v>
      </c>
    </row>
    <row r="32" spans="1:6" s="261" customFormat="1" ht="15" customHeight="1" thickTop="1">
      <c r="A32" s="248"/>
      <c r="B32" s="258"/>
      <c r="C32" s="258"/>
      <c r="D32" s="258"/>
      <c r="E32" s="258"/>
      <c r="F32" s="258"/>
    </row>
    <row r="33" spans="1:6" ht="15" customHeight="1">
      <c r="A33" s="248" t="s">
        <v>179</v>
      </c>
      <c r="B33" s="255"/>
      <c r="C33" s="255"/>
      <c r="D33" s="255"/>
      <c r="E33" s="201"/>
      <c r="F33" s="201"/>
    </row>
    <row r="34" spans="1:6" ht="15" customHeight="1">
      <c r="A34" s="251" t="s">
        <v>175</v>
      </c>
      <c r="B34" s="201">
        <f aca="true" t="shared" si="0" ref="B34:E36">B9+(B15+B21-B28)</f>
        <v>1652945.9100000001</v>
      </c>
      <c r="C34" s="202">
        <f t="shared" si="0"/>
        <v>-144177.40000000002</v>
      </c>
      <c r="D34" s="202">
        <f t="shared" si="0"/>
        <v>-1089.03</v>
      </c>
      <c r="E34" s="212">
        <f t="shared" si="0"/>
        <v>0</v>
      </c>
      <c r="F34" s="201">
        <f>SUM(B34:E34)+1</f>
        <v>1507680.4800000002</v>
      </c>
    </row>
    <row r="35" spans="1:6" ht="15" customHeight="1">
      <c r="A35" s="251" t="s">
        <v>176</v>
      </c>
      <c r="B35" s="201">
        <f t="shared" si="0"/>
        <v>7645021.73</v>
      </c>
      <c r="C35" s="202">
        <f>C10+(C16+C22-C29)-1</f>
        <v>1272025.78</v>
      </c>
      <c r="D35" s="202">
        <f t="shared" si="0"/>
        <v>-89.08999999999992</v>
      </c>
      <c r="E35" s="212">
        <f t="shared" si="0"/>
        <v>0</v>
      </c>
      <c r="F35" s="202">
        <f>SUM(B35:E35)+1</f>
        <v>8916959.42</v>
      </c>
    </row>
    <row r="36" spans="1:6" ht="15" customHeight="1">
      <c r="A36" s="251" t="s">
        <v>177</v>
      </c>
      <c r="B36" s="212">
        <f t="shared" si="0"/>
        <v>0</v>
      </c>
      <c r="C36" s="212">
        <f t="shared" si="0"/>
        <v>0</v>
      </c>
      <c r="D36" s="212">
        <f t="shared" si="0"/>
        <v>0</v>
      </c>
      <c r="E36" s="212">
        <f t="shared" si="0"/>
        <v>0</v>
      </c>
      <c r="F36" s="212">
        <f>SUM(B36:E36)</f>
        <v>0</v>
      </c>
    </row>
    <row r="37" spans="1:6" ht="15" customHeight="1" thickBot="1">
      <c r="A37" s="252" t="s">
        <v>155</v>
      </c>
      <c r="B37" s="262">
        <f>SUM(B34:B36)</f>
        <v>9297967.64</v>
      </c>
      <c r="C37" s="262">
        <f>SUM(C34:C36)+1</f>
        <v>1127849.38</v>
      </c>
      <c r="D37" s="262">
        <f>SUM(D34:D36)</f>
        <v>-1178.12</v>
      </c>
      <c r="E37" s="222">
        <f>SUM(E34:E36)</f>
        <v>0</v>
      </c>
      <c r="F37" s="262">
        <f>SUM(F34:F36)-1</f>
        <v>10424638.9</v>
      </c>
    </row>
    <row r="38" spans="2:6" ht="15" customHeight="1" thickTop="1">
      <c r="B38" s="257"/>
      <c r="C38" s="257"/>
      <c r="D38" s="257"/>
      <c r="F38" s="264"/>
    </row>
    <row r="39" spans="1:6" s="268" customFormat="1" ht="15" customHeight="1">
      <c r="A39" s="265"/>
      <c r="B39" s="266"/>
      <c r="C39" s="266"/>
      <c r="D39" s="266"/>
      <c r="E39" s="267"/>
      <c r="F39" s="264"/>
    </row>
    <row r="40" spans="2:4" ht="15" customHeight="1">
      <c r="B40" s="249"/>
      <c r="C40" s="249"/>
      <c r="D40" s="249"/>
    </row>
    <row r="41" spans="2:4" ht="15" customHeight="1">
      <c r="B41" s="249"/>
      <c r="C41" s="249"/>
      <c r="D41" s="249"/>
    </row>
    <row r="42" spans="2:4" ht="15" customHeight="1">
      <c r="B42" s="249"/>
      <c r="C42" s="249"/>
      <c r="D42" s="249"/>
    </row>
    <row r="43" spans="1:4" ht="15" customHeight="1">
      <c r="A43" s="241"/>
      <c r="B43" s="249"/>
      <c r="C43" s="249"/>
      <c r="D43" s="249"/>
    </row>
    <row r="44" spans="1:4" ht="15" customHeight="1">
      <c r="A44" s="241"/>
      <c r="B44" s="249"/>
      <c r="C44" s="249"/>
      <c r="D44" s="249"/>
    </row>
    <row r="45" spans="1:4" ht="15" customHeight="1">
      <c r="A45" s="241"/>
      <c r="B45" s="249"/>
      <c r="C45" s="249"/>
      <c r="D45" s="249"/>
    </row>
    <row r="46" spans="1:4" ht="15" customHeight="1">
      <c r="A46" s="241"/>
      <c r="B46" s="249"/>
      <c r="C46" s="249"/>
      <c r="D46" s="249"/>
    </row>
    <row r="47" spans="1:4" ht="15" customHeight="1">
      <c r="A47" s="241"/>
      <c r="B47" s="249"/>
      <c r="C47" s="249"/>
      <c r="D47" s="249"/>
    </row>
    <row r="48" spans="1:4" ht="15" customHeight="1">
      <c r="A48" s="241"/>
      <c r="B48" s="249"/>
      <c r="C48" s="249"/>
      <c r="D48" s="249"/>
    </row>
    <row r="49" spans="1:4" s="168" customFormat="1" ht="15" customHeight="1">
      <c r="A49" s="241"/>
      <c r="B49" s="249"/>
      <c r="C49" s="249"/>
      <c r="D49" s="249"/>
    </row>
    <row r="50" spans="1:4" s="168" customFormat="1" ht="15" customHeight="1">
      <c r="A50" s="241"/>
      <c r="B50" s="249"/>
      <c r="C50" s="249"/>
      <c r="D50" s="249"/>
    </row>
    <row r="51" spans="1:4" s="168" customFormat="1" ht="15" customHeight="1">
      <c r="A51" s="241"/>
      <c r="B51" s="249"/>
      <c r="C51" s="249"/>
      <c r="D51" s="249"/>
    </row>
    <row r="52" spans="1:4" s="168" customFormat="1" ht="15" customHeight="1">
      <c r="A52" s="241"/>
      <c r="B52" s="249"/>
      <c r="C52" s="249"/>
      <c r="D52" s="249"/>
    </row>
    <row r="53" spans="1:4" s="168" customFormat="1" ht="15" customHeight="1">
      <c r="A53" s="241"/>
      <c r="B53" s="249"/>
      <c r="C53" s="249"/>
      <c r="D53" s="249"/>
    </row>
    <row r="54" spans="1:4" s="168" customFormat="1" ht="15" customHeight="1">
      <c r="A54" s="241"/>
      <c r="B54" s="249"/>
      <c r="C54" s="249"/>
      <c r="D54" s="249"/>
    </row>
    <row r="55" spans="1:4" s="168" customFormat="1" ht="15" customHeight="1">
      <c r="A55" s="241"/>
      <c r="B55" s="269"/>
      <c r="C55" s="269"/>
      <c r="D55" s="269"/>
    </row>
    <row r="56" spans="1:4" s="168" customFormat="1" ht="15" customHeight="1">
      <c r="A56" s="241"/>
      <c r="B56" s="269"/>
      <c r="C56" s="269"/>
      <c r="D56" s="269"/>
    </row>
    <row r="57" spans="1:4" s="168" customFormat="1" ht="15" customHeight="1">
      <c r="A57" s="241"/>
      <c r="B57" s="269"/>
      <c r="C57" s="269"/>
      <c r="D57" s="269"/>
    </row>
    <row r="58" spans="1:4" s="168" customFormat="1" ht="15" customHeight="1">
      <c r="A58" s="241"/>
      <c r="B58" s="269"/>
      <c r="C58" s="269"/>
      <c r="D58" s="269"/>
    </row>
    <row r="59" spans="1:4" s="168" customFormat="1" ht="15" customHeight="1">
      <c r="A59" s="241"/>
      <c r="B59" s="269"/>
      <c r="C59" s="269"/>
      <c r="D59" s="269"/>
    </row>
    <row r="60" spans="1:4" s="168" customFormat="1" ht="15" customHeight="1">
      <c r="A60" s="241"/>
      <c r="B60" s="269"/>
      <c r="C60" s="269"/>
      <c r="D60" s="269"/>
    </row>
    <row r="61" spans="1:4" s="168" customFormat="1" ht="15" customHeight="1">
      <c r="A61" s="241"/>
      <c r="B61" s="269"/>
      <c r="C61" s="269"/>
      <c r="D61" s="269"/>
    </row>
    <row r="62" spans="1:4" s="168" customFormat="1" ht="15" customHeight="1">
      <c r="A62" s="241"/>
      <c r="B62" s="269"/>
      <c r="C62" s="269"/>
      <c r="D62" s="269"/>
    </row>
    <row r="63" spans="1:4" s="168" customFormat="1" ht="15" customHeight="1">
      <c r="A63" s="241"/>
      <c r="B63" s="269"/>
      <c r="C63" s="269"/>
      <c r="D63" s="269"/>
    </row>
    <row r="64" spans="1:4" s="168" customFormat="1" ht="15" customHeight="1">
      <c r="A64" s="241"/>
      <c r="B64" s="269"/>
      <c r="C64" s="269"/>
      <c r="D64" s="269"/>
    </row>
    <row r="65" s="168" customFormat="1" ht="15" customHeight="1">
      <c r="A65" s="241"/>
    </row>
    <row r="66" s="168" customFormat="1" ht="15" customHeight="1">
      <c r="A66" s="241"/>
    </row>
    <row r="67" s="168" customFormat="1" ht="15" customHeight="1">
      <c r="A67" s="241"/>
    </row>
    <row r="68" s="168" customFormat="1" ht="15" customHeight="1">
      <c r="A68" s="241"/>
    </row>
    <row r="69" s="168" customFormat="1" ht="15" customHeight="1">
      <c r="A69" s="241"/>
    </row>
    <row r="70" s="168" customFormat="1" ht="15" customHeight="1">
      <c r="A70" s="241"/>
    </row>
    <row r="71" s="168" customFormat="1" ht="15" customHeight="1">
      <c r="A71" s="241"/>
    </row>
    <row r="72" s="168" customFormat="1" ht="15" customHeight="1">
      <c r="A72" s="241"/>
    </row>
    <row r="73" s="168" customFormat="1" ht="15" customHeight="1">
      <c r="A73" s="241"/>
    </row>
    <row r="74" s="168" customFormat="1" ht="15" customHeight="1">
      <c r="A74" s="241"/>
    </row>
  </sheetData>
  <sheetProtection/>
  <mergeCells count="3">
    <mergeCell ref="A1:F1"/>
    <mergeCell ref="A3:F3"/>
    <mergeCell ref="A4:F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aabrams</dc:creator>
  <cp:keywords/>
  <dc:description/>
  <cp:lastModifiedBy>aabrams</cp:lastModifiedBy>
  <cp:lastPrinted>2013-02-19T15:21:27Z</cp:lastPrinted>
  <dcterms:created xsi:type="dcterms:W3CDTF">2012-09-19T14:26:38Z</dcterms:created>
  <dcterms:modified xsi:type="dcterms:W3CDTF">2013-02-19T15:21:39Z</dcterms:modified>
  <cp:category/>
  <cp:version/>
  <cp:contentType/>
  <cp:contentStatus/>
</cp:coreProperties>
</file>